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5" windowWidth="11580" windowHeight="9345" activeTab="2"/>
  </bookViews>
  <sheets>
    <sheet name="Anleitung" sheetId="1" r:id="rId1"/>
    <sheet name="Datenerfassung" sheetId="2" r:id="rId2"/>
    <sheet name="Auswertung" sheetId="3" r:id="rId3"/>
  </sheets>
  <definedNames/>
  <calcPr fullCalcOnLoad="1"/>
</workbook>
</file>

<file path=xl/sharedStrings.xml><?xml version="1.0" encoding="utf-8"?>
<sst xmlns="http://schemas.openxmlformats.org/spreadsheetml/2006/main" count="202" uniqueCount="175">
  <si>
    <t xml:space="preserve">Kunde </t>
  </si>
  <si>
    <t>Vergleich</t>
  </si>
  <si>
    <t>BöSha</t>
  </si>
  <si>
    <t>Kunde</t>
  </si>
  <si>
    <t>Anzahl Leuchten</t>
  </si>
  <si>
    <t>Strompreis</t>
  </si>
  <si>
    <t>Leuchtmittelpreis</t>
  </si>
  <si>
    <t>Betriebsstunden</t>
  </si>
  <si>
    <t>Wechselintervall</t>
  </si>
  <si>
    <t>Kosten pro Einzelwechsel</t>
  </si>
  <si>
    <t>Kosten pro Gruppenwechsel</t>
  </si>
  <si>
    <t>CO2-Emmission pro KWh</t>
  </si>
  <si>
    <t>Jahre</t>
  </si>
  <si>
    <t>Differenz</t>
  </si>
  <si>
    <t>Neuanlage</t>
  </si>
  <si>
    <t>E-Preis LED</t>
  </si>
  <si>
    <t>E-Preis alt</t>
  </si>
  <si>
    <t>Gesamtinvestrechnung</t>
  </si>
  <si>
    <t>incl. Inflation</t>
  </si>
  <si>
    <t xml:space="preserve">Altanlage  </t>
  </si>
  <si>
    <t>Summe Neuanlage</t>
  </si>
  <si>
    <t>Differenz Gesamt</t>
  </si>
  <si>
    <t>Zinslast</t>
  </si>
  <si>
    <t>als Rate</t>
  </si>
  <si>
    <t>Ersparnis pro Jahr</t>
  </si>
  <si>
    <t>Prozentsatz:</t>
  </si>
  <si>
    <t>Systemleistung</t>
  </si>
  <si>
    <t>Euro</t>
  </si>
  <si>
    <t>Kosten pro Jahr</t>
  </si>
  <si>
    <t>Leuchtmittelkosten</t>
  </si>
  <si>
    <t>Stromkosten</t>
  </si>
  <si>
    <t>Kosten für Einzelwechsel</t>
  </si>
  <si>
    <t>Kosten für Gruppenwechsel</t>
  </si>
  <si>
    <t>Gesamtbetriebskosten</t>
  </si>
  <si>
    <t xml:space="preserve">Einsparung </t>
  </si>
  <si>
    <t>pro Jahr</t>
  </si>
  <si>
    <t>Einsparung</t>
  </si>
  <si>
    <t>kumuliert</t>
  </si>
  <si>
    <t>Legende:</t>
  </si>
  <si>
    <t>*1</t>
  </si>
  <si>
    <t>*2</t>
  </si>
  <si>
    <t>*3</t>
  </si>
  <si>
    <t>Cashflow</t>
  </si>
  <si>
    <t>Zinslast zur Finanzierung des Differenzbetrages zwischen Altanlage und Neuanlage</t>
  </si>
  <si>
    <t>Die Inflationsrate der Neuanlage entfällt nur auf die Stromkosten.</t>
  </si>
  <si>
    <t>Die Inflationsrate der Altanlage entfällt auf die Strom-, Leuchtmittel- und Arbeitskosten.</t>
  </si>
  <si>
    <t>Betriebskosteneinsparung aus Alt- und Neuanlage</t>
  </si>
  <si>
    <t>CO2-Ersparnis pro Jahr</t>
  </si>
  <si>
    <t>CO2-Emmission(kg)</t>
  </si>
  <si>
    <t>%</t>
  </si>
  <si>
    <t>BöSha-Amortisationsrechnung</t>
  </si>
  <si>
    <t>Mit der BöSha-Amortisationsrechnung können Sie Ihre ganz spezielle</t>
  </si>
  <si>
    <t>Beleuchtungssituation auf Wirtschaftlichkeit prüfen.</t>
  </si>
  <si>
    <t>Bitte füllen Sie für ein optimales Ergebnis die nachfolgend markierten Felder</t>
  </si>
  <si>
    <t>so genau wie möglich aus. Nur dann ist eine genaue Amortisationsrechnung möglich.</t>
  </si>
  <si>
    <t>Anzahl der Leuchten</t>
  </si>
  <si>
    <t>vorhandenes Leuchtmittel:</t>
  </si>
  <si>
    <t>z.B. 70 W NAV / 80 W HQL usw.</t>
  </si>
  <si>
    <t>Strompreis incl Nebenkosten</t>
  </si>
  <si>
    <t>NAV = 12000 Std. / HQL = 8000 Std.</t>
  </si>
  <si>
    <t>in Stück</t>
  </si>
  <si>
    <t>in Euro (Durchschnitt 0,17 €)</t>
  </si>
  <si>
    <t>Angaben vorhandenes Leuchtmittel</t>
  </si>
  <si>
    <t>Allgemeine Angaben</t>
  </si>
  <si>
    <t>Angaben zur Finanzierung</t>
  </si>
  <si>
    <t>Inflationsrate</t>
  </si>
  <si>
    <t>Finanzierungzinssatz</t>
  </si>
  <si>
    <t>NAV = 8,00 € / HQL = 7,02 €</t>
  </si>
  <si>
    <t>BöSha Technische Produkte GmbH &amp; Co.KG</t>
  </si>
  <si>
    <t>Industriegebiet Heidberg 21</t>
  </si>
  <si>
    <t>59602 Rüthen</t>
  </si>
  <si>
    <t>http://www.boesha.de</t>
  </si>
  <si>
    <t>Angaben zum BöSha LED Einsatz</t>
  </si>
  <si>
    <t>Name des LED-Einsatzes</t>
  </si>
  <si>
    <t>Systemleistung in Watt</t>
  </si>
  <si>
    <t>in Prozent</t>
  </si>
  <si>
    <t xml:space="preserve">in Prozent </t>
  </si>
  <si>
    <t>Preis Leuchtmittel in Euro</t>
  </si>
  <si>
    <t>Wechselintervall in Std.</t>
  </si>
  <si>
    <t>Betriebsstunden pro Jahr</t>
  </si>
  <si>
    <t>Preis LED-Einsatz in Euro</t>
  </si>
  <si>
    <t>(ab Tilgung der Finanzierung (grün) stellt der Betrag den Wert der Spalte O dar)</t>
  </si>
  <si>
    <t>Summe Altanlage</t>
  </si>
  <si>
    <t>Wartung pro Lichtpunkt in %</t>
  </si>
  <si>
    <t>*(50%)</t>
  </si>
  <si>
    <t>*(100 Euro)</t>
  </si>
  <si>
    <t>*(30 Euro)</t>
  </si>
  <si>
    <t>(nur wenn *Pos.nicht bekannt, sonst "1")</t>
  </si>
  <si>
    <t>Wartungsk./Leuchtmittelk.in Summe</t>
  </si>
  <si>
    <t>incl. Abschreibung</t>
  </si>
  <si>
    <t>Abschreibung</t>
  </si>
  <si>
    <t>auf Jahre</t>
  </si>
  <si>
    <t>Abschreibung in Prozent</t>
  </si>
  <si>
    <t>Summe</t>
  </si>
  <si>
    <t>Restwert</t>
  </si>
  <si>
    <t>Strompreisindex</t>
  </si>
  <si>
    <t>Wartungsk./Leuchtmittelk. In Summe</t>
  </si>
  <si>
    <t>°</t>
  </si>
  <si>
    <t>(nur wenn °Pos.nicht bekannt, sonst "1")</t>
  </si>
  <si>
    <t>Wartungskosten je Leuchte in %</t>
  </si>
  <si>
    <t>Wartungskosten in Summe €</t>
  </si>
  <si>
    <t>und Strompreisindex</t>
  </si>
  <si>
    <t>Abschr.(%)</t>
  </si>
  <si>
    <t>Strompreisind.(%)</t>
  </si>
  <si>
    <t>(4200 Std.)</t>
  </si>
  <si>
    <t>Anleitung zur BöSha-Amortisationsrechnung</t>
  </si>
  <si>
    <t>Prinzip:</t>
  </si>
  <si>
    <t>Auf der Registerkarte „Datenerfassung„ werden die notwendigen Daten eingegeben.</t>
  </si>
  <si>
    <t>Es werden lediglich die Daten aus dem Register „Datenerfassung“ ausgewertet.</t>
  </si>
  <si>
    <t>Im folgenden sind daher nur die Felder der „Datenerfassung“ erläutert:</t>
  </si>
  <si>
    <t>Kundenname</t>
  </si>
  <si>
    <t xml:space="preserve">Anzahl der Leuchten für die diese </t>
  </si>
  <si>
    <t>Amortisation gelten soll</t>
  </si>
  <si>
    <t xml:space="preserve">(Gebühren und Netzkosten) , </t>
  </si>
  <si>
    <t>Stromkosten incl. aller Nebenkosten</t>
  </si>
  <si>
    <t>Strompreis incl. Nebenkosten</t>
  </si>
  <si>
    <t>die durchschnittliche Brenndauer der Straßen-</t>
  </si>
  <si>
    <t xml:space="preserve">beleuchtung beträgt 11 Stunden täglich. Daraus </t>
  </si>
  <si>
    <t>ergibt sich ein Standardwert von 4000 Stunden.</t>
  </si>
  <si>
    <t>Kosten pro Einzelwechsel,</t>
  </si>
  <si>
    <t>Beschreibung des vorhandenen Leuchtmittels</t>
  </si>
  <si>
    <t xml:space="preserve">Vorhandenes Leuchtmittel </t>
  </si>
  <si>
    <t xml:space="preserve">Die in der nebenstehenden Tabelle(Datenerfassung) </t>
  </si>
  <si>
    <t xml:space="preserve">aufgeführten Werte wurden bei Musterleuchten </t>
  </si>
  <si>
    <t xml:space="preserve">gemessen. Je nach Alter des Leuchtmittels und </t>
  </si>
  <si>
    <t xml:space="preserve">Verwendung eines KVG oder VVG entnehmen Sie die </t>
  </si>
  <si>
    <t>entsprechenden Werte.</t>
  </si>
  <si>
    <t xml:space="preserve">Die genannten Werte für NAV und HQL Leuchtmittel </t>
  </si>
  <si>
    <t xml:space="preserve">sind Durchschnittswerte aus dem Internet und können </t>
  </si>
  <si>
    <t>im Einzelfall abweichen.</t>
  </si>
  <si>
    <t xml:space="preserve">Preis Leuchtmittel in Euro  </t>
  </si>
  <si>
    <t xml:space="preserve">Dies sind die von den Herstellern der herkömmlichen </t>
  </si>
  <si>
    <t>Leuchtmittel genannten Wechselintervalle.</t>
  </si>
  <si>
    <t>Wechselintervall in Stunden</t>
  </si>
  <si>
    <t xml:space="preserve">Kosten pro Gruppenwechsel </t>
  </si>
  <si>
    <t xml:space="preserve">Sollten die Kosten für Einzel- und Gruppenwechsel </t>
  </si>
  <si>
    <t xml:space="preserve">bekannt sein, werden hier die Kosten pro Lichtpunkt </t>
  </si>
  <si>
    <t>und der Prozentsatz der Frühausfälle eingegeben.</t>
  </si>
  <si>
    <t xml:space="preserve">Sollten die Kosten für den Einzel- und Gruppenwechsel </t>
  </si>
  <si>
    <t xml:space="preserve">nicht bekannt sein, können hier die Gesamtkosten pro </t>
  </si>
  <si>
    <t xml:space="preserve">Jahr für die genannte Anzahl von Leuchten eingetragen </t>
  </si>
  <si>
    <t>werden.</t>
  </si>
  <si>
    <t>Wartungskosten /Leuchtmittelkosten</t>
  </si>
  <si>
    <r>
      <t xml:space="preserve"> in Summe</t>
    </r>
    <r>
      <rPr>
        <sz val="10"/>
        <rFont val="Arial"/>
        <family val="0"/>
      </rPr>
      <t xml:space="preserve"> *2</t>
    </r>
  </si>
  <si>
    <t>*1/*2 Diese Punkte sollten wechselseitig verwendet werden.</t>
  </si>
  <si>
    <t>Es handelt sich um die durchschnittliche Inflationsrate</t>
  </si>
  <si>
    <t xml:space="preserve"> pro Jahr.</t>
  </si>
  <si>
    <t xml:space="preserve">Prozentsatz, für den aktuell Kapital am Kapitalmarkt </t>
  </si>
  <si>
    <t>beschafft werden muß</t>
  </si>
  <si>
    <t>Finanzierungszinssatz</t>
  </si>
  <si>
    <t>Index der durchschnittlichen Strompreisentwicklung</t>
  </si>
  <si>
    <t xml:space="preserve"> pro Jahr</t>
  </si>
  <si>
    <t xml:space="preserve">Name des LED-Einsatzes Fa. BöSha </t>
  </si>
  <si>
    <t>(evtl. bei BöSha erfragen)</t>
  </si>
  <si>
    <t xml:space="preserve">entweder aus Angebot Fa. BöSha entnehmen oder </t>
  </si>
  <si>
    <t>bei BöSha erfragen</t>
  </si>
  <si>
    <t xml:space="preserve">Prozentsatz der Wartung von BöSha-LED-Einsätzen </t>
  </si>
  <si>
    <t xml:space="preserve">gegenüber herkömmlichen Leuchtmittel. </t>
  </si>
  <si>
    <t>(durchschnittlich 30 %)</t>
  </si>
  <si>
    <t>entsprechend dem Feld „ Wartungskosten/Leuchtmittel-</t>
  </si>
  <si>
    <t xml:space="preserve">kosten in Summe“ aus dem Bereich „Angaben </t>
  </si>
  <si>
    <t>vorhandenes Leuchtmittel“ x dem Prozentsatz der</t>
  </si>
  <si>
    <t xml:space="preserve"> „BöSha-Wartung“</t>
  </si>
  <si>
    <t>Wartungskosten in Summe</t>
  </si>
  <si>
    <t>Kontakt</t>
  </si>
  <si>
    <t>BöSha Technische Produkte</t>
  </si>
  <si>
    <t xml:space="preserve">Harry Rempe, Tel. 02952/97091-116 </t>
  </si>
  <si>
    <t>Der Bundesdurchschnitt liegt bei 0,17 Cent/KWH ohne MWST</t>
  </si>
  <si>
    <r>
      <t xml:space="preserve">Frühausfälle, </t>
    </r>
    <r>
      <rPr>
        <sz val="10"/>
        <rFont val="Arial"/>
        <family val="2"/>
      </rPr>
      <t xml:space="preserve"> *1</t>
    </r>
  </si>
  <si>
    <t xml:space="preserve">Strompreisindex </t>
  </si>
  <si>
    <t>Frühausfälle in %</t>
  </si>
  <si>
    <r>
      <t xml:space="preserve">Auf der Registerkarte „Auswertung“ können </t>
    </r>
    <r>
      <rPr>
        <b/>
        <u val="single"/>
        <sz val="12"/>
        <rFont val="Arial"/>
        <family val="2"/>
      </rPr>
      <t>keine</t>
    </r>
    <r>
      <rPr>
        <sz val="12"/>
        <rFont val="Arial"/>
        <family val="2"/>
      </rPr>
      <t xml:space="preserve"> Daten geändert werden.</t>
    </r>
  </si>
  <si>
    <t>Janus 20</t>
  </si>
  <si>
    <t>250 W HQL</t>
  </si>
  <si>
    <t>Soest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</si>
</sst>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"/>
    <numFmt numFmtId="170" formatCode="#,##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#.##000"/>
  </numFmts>
  <fonts count="5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14"/>
      <name val="Arial"/>
      <family val="2"/>
    </font>
    <font>
      <sz val="10"/>
      <color indexed="8"/>
      <name val="Arial"/>
      <family val="0"/>
    </font>
    <font>
      <sz val="10"/>
      <color indexed="57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4" fontId="0" fillId="0" borderId="16" xfId="0" applyNumberForma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Border="1" applyAlignment="1">
      <alignment horizontal="right"/>
    </xf>
    <xf numFmtId="4" fontId="7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0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33" borderId="16" xfId="0" applyFill="1" applyBorder="1" applyAlignment="1">
      <alignment/>
    </xf>
    <xf numFmtId="4" fontId="0" fillId="33" borderId="16" xfId="0" applyNumberFormat="1" applyFill="1" applyBorder="1" applyAlignment="1">
      <alignment/>
    </xf>
    <xf numFmtId="4" fontId="12" fillId="0" borderId="13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" fontId="13" fillId="0" borderId="18" xfId="0" applyNumberFormat="1" applyFont="1" applyBorder="1" applyAlignment="1">
      <alignment/>
    </xf>
    <xf numFmtId="4" fontId="13" fillId="0" borderId="19" xfId="0" applyNumberFormat="1" applyFont="1" applyBorder="1" applyAlignment="1">
      <alignment/>
    </xf>
    <xf numFmtId="0" fontId="0" fillId="34" borderId="13" xfId="0" applyFill="1" applyBorder="1" applyAlignment="1">
      <alignment/>
    </xf>
    <xf numFmtId="0" fontId="8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6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16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15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35" borderId="16" xfId="0" applyFill="1" applyBorder="1" applyAlignment="1">
      <alignment/>
    </xf>
    <xf numFmtId="0" fontId="11" fillId="0" borderId="26" xfId="0" applyFont="1" applyBorder="1" applyAlignment="1">
      <alignment/>
    </xf>
    <xf numFmtId="0" fontId="14" fillId="0" borderId="26" xfId="0" applyFont="1" applyBorder="1" applyAlignment="1">
      <alignment/>
    </xf>
    <xf numFmtId="1" fontId="0" fillId="34" borderId="16" xfId="0" applyNumberFormat="1" applyFill="1" applyBorder="1" applyAlignment="1">
      <alignment/>
    </xf>
    <xf numFmtId="0" fontId="0" fillId="0" borderId="26" xfId="0" applyFont="1" applyBorder="1" applyAlignment="1">
      <alignment/>
    </xf>
    <xf numFmtId="4" fontId="0" fillId="34" borderId="27" xfId="0" applyNumberFormat="1" applyFont="1" applyFill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0" fontId="3" fillId="0" borderId="26" xfId="0" applyFont="1" applyBorder="1" applyAlignment="1">
      <alignment/>
    </xf>
    <xf numFmtId="4" fontId="3" fillId="0" borderId="27" xfId="0" applyNumberFormat="1" applyFont="1" applyBorder="1" applyAlignment="1">
      <alignment/>
    </xf>
    <xf numFmtId="0" fontId="0" fillId="34" borderId="16" xfId="0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4" fontId="2" fillId="35" borderId="16" xfId="0" applyNumberFormat="1" applyFont="1" applyFill="1" applyBorder="1" applyAlignment="1">
      <alignment horizontal="center"/>
    </xf>
    <xf numFmtId="4" fontId="2" fillId="36" borderId="16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0" fillId="36" borderId="16" xfId="0" applyFill="1" applyBorder="1" applyAlignment="1">
      <alignment/>
    </xf>
    <xf numFmtId="4" fontId="0" fillId="36" borderId="16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164" fontId="2" fillId="37" borderId="16" xfId="0" applyNumberFormat="1" applyFont="1" applyFill="1" applyBorder="1" applyAlignment="1">
      <alignment horizontal="center"/>
    </xf>
    <xf numFmtId="164" fontId="0" fillId="37" borderId="18" xfId="0" applyNumberFormat="1" applyFill="1" applyBorder="1" applyAlignment="1">
      <alignment/>
    </xf>
    <xf numFmtId="164" fontId="0" fillId="37" borderId="13" xfId="0" applyNumberFormat="1" applyFill="1" applyBorder="1" applyAlignment="1">
      <alignment/>
    </xf>
    <xf numFmtId="49" fontId="14" fillId="0" borderId="0" xfId="0" applyNumberFormat="1" applyFont="1" applyBorder="1" applyAlignment="1">
      <alignment/>
    </xf>
    <xf numFmtId="0" fontId="2" fillId="36" borderId="16" xfId="0" applyFont="1" applyFill="1" applyBorder="1" applyAlignment="1">
      <alignment horizontal="left"/>
    </xf>
    <xf numFmtId="4" fontId="12" fillId="0" borderId="12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0" fontId="14" fillId="0" borderId="28" xfId="0" applyFont="1" applyBorder="1" applyAlignment="1">
      <alignment/>
    </xf>
    <xf numFmtId="0" fontId="2" fillId="38" borderId="16" xfId="0" applyFont="1" applyFill="1" applyBorder="1" applyAlignment="1">
      <alignment horizontal="center"/>
    </xf>
    <xf numFmtId="4" fontId="2" fillId="38" borderId="16" xfId="0" applyNumberFormat="1" applyFont="1" applyFill="1" applyBorder="1" applyAlignment="1">
      <alignment horizontal="center"/>
    </xf>
    <xf numFmtId="1" fontId="0" fillId="38" borderId="16" xfId="0" applyNumberFormat="1" applyFill="1" applyBorder="1" applyAlignment="1">
      <alignment/>
    </xf>
    <xf numFmtId="4" fontId="0" fillId="38" borderId="16" xfId="0" applyNumberFormat="1" applyFill="1" applyBorder="1" applyAlignment="1">
      <alignment/>
    </xf>
    <xf numFmtId="0" fontId="3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" fontId="14" fillId="39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4" fontId="12" fillId="0" borderId="0" xfId="0" applyNumberFormat="1" applyFont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11" xfId="0" applyFill="1" applyBorder="1" applyAlignment="1">
      <alignment/>
    </xf>
    <xf numFmtId="2" fontId="0" fillId="39" borderId="13" xfId="0" applyNumberFormat="1" applyFill="1" applyBorder="1" applyAlignment="1">
      <alignment/>
    </xf>
    <xf numFmtId="2" fontId="14" fillId="40" borderId="16" xfId="0" applyNumberFormat="1" applyFont="1" applyFill="1" applyBorder="1" applyAlignment="1">
      <alignment horizontal="center"/>
    </xf>
    <xf numFmtId="164" fontId="2" fillId="34" borderId="0" xfId="0" applyNumberFormat="1" applyFont="1" applyFill="1" applyBorder="1" applyAlignment="1">
      <alignment horizontal="center"/>
    </xf>
    <xf numFmtId="4" fontId="2" fillId="34" borderId="16" xfId="0" applyNumberFormat="1" applyFont="1" applyFill="1" applyBorder="1" applyAlignment="1">
      <alignment horizontal="center"/>
    </xf>
    <xf numFmtId="0" fontId="14" fillId="34" borderId="26" xfId="0" applyFont="1" applyFill="1" applyBorder="1" applyAlignment="1">
      <alignment/>
    </xf>
    <xf numFmtId="4" fontId="2" fillId="41" borderId="16" xfId="0" applyNumberFormat="1" applyFont="1" applyFill="1" applyBorder="1" applyAlignment="1">
      <alignment horizontal="center"/>
    </xf>
    <xf numFmtId="3" fontId="2" fillId="41" borderId="16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42" borderId="0" xfId="0" applyNumberFormat="1" applyFill="1" applyBorder="1" applyAlignment="1">
      <alignment/>
    </xf>
    <xf numFmtId="2" fontId="0" fillId="0" borderId="25" xfId="0" applyNumberFormat="1" applyBorder="1" applyAlignment="1">
      <alignment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24" xfId="0" applyFill="1" applyBorder="1" applyAlignment="1">
      <alignment/>
    </xf>
    <xf numFmtId="0" fontId="8" fillId="34" borderId="11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5" xfId="0" applyFill="1" applyBorder="1" applyAlignment="1">
      <alignment/>
    </xf>
    <xf numFmtId="0" fontId="8" fillId="34" borderId="15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25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24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left"/>
    </xf>
    <xf numFmtId="0" fontId="14" fillId="34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164" fontId="2" fillId="42" borderId="16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57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Datenerfassung!#REF!</c:f>
              <c:numCache>
                <c:ptCount val="1"/>
                <c:pt idx="0">
                  <c:v>1</c:v>
                </c:pt>
              </c:numCache>
            </c:numRef>
          </c:val>
        </c:ser>
        <c:axId val="11162188"/>
        <c:axId val="33350829"/>
      </c:areaChart>
      <c:catAx>
        <c:axId val="1116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 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50829"/>
        <c:crosses val="autoZero"/>
        <c:auto val="1"/>
        <c:lblOffset val="100"/>
        <c:tickLblSkip val="1"/>
        <c:noMultiLvlLbl val="0"/>
      </c:catAx>
      <c:valAx>
        <c:axId val="33350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Cashflow(€)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621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4675"/>
          <c:w val="0.84475"/>
          <c:h val="0.882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Auswertung!$X$7:$X$36</c:f>
              <c:numCache/>
            </c:numRef>
          </c:val>
        </c:ser>
        <c:axId val="31722006"/>
        <c:axId val="17062599"/>
      </c:areaChart>
      <c:catAx>
        <c:axId val="3172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 Jahre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2599"/>
        <c:crosses val="autoZero"/>
        <c:auto val="1"/>
        <c:lblOffset val="100"/>
        <c:tickLblSkip val="2"/>
        <c:noMultiLvlLbl val="0"/>
      </c:catAx>
      <c:valAx>
        <c:axId val="17062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Cashflow(€)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0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104775</xdr:rowOff>
    </xdr:from>
    <xdr:to>
      <xdr:col>0</xdr:col>
      <xdr:colOff>0</xdr:colOff>
      <xdr:row>72</xdr:row>
      <xdr:rowOff>9525</xdr:rowOff>
    </xdr:to>
    <xdr:graphicFrame>
      <xdr:nvGraphicFramePr>
        <xdr:cNvPr id="1" name="Diagramm 1"/>
        <xdr:cNvGraphicFramePr/>
      </xdr:nvGraphicFramePr>
      <xdr:xfrm>
        <a:off x="0" y="10001250"/>
        <a:ext cx="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37</xdr:row>
      <xdr:rowOff>0</xdr:rowOff>
    </xdr:from>
    <xdr:to>
      <xdr:col>22</xdr:col>
      <xdr:colOff>571500</xdr:colOff>
      <xdr:row>56</xdr:row>
      <xdr:rowOff>57150</xdr:rowOff>
    </xdr:to>
    <xdr:graphicFrame>
      <xdr:nvGraphicFramePr>
        <xdr:cNvPr id="1" name="Diagramm 5"/>
        <xdr:cNvGraphicFramePr/>
      </xdr:nvGraphicFramePr>
      <xdr:xfrm>
        <a:off x="7762875" y="6162675"/>
        <a:ext cx="70389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D79"/>
  <sheetViews>
    <sheetView zoomScale="75" zoomScaleNormal="75" zoomScalePageLayoutView="0" workbookViewId="0" topLeftCell="A1">
      <selection activeCell="D38" sqref="D38"/>
    </sheetView>
  </sheetViews>
  <sheetFormatPr defaultColWidth="11.421875" defaultRowHeight="12.75"/>
  <cols>
    <col min="1" max="1" width="41.00390625" style="147" customWidth="1"/>
    <col min="2" max="3" width="2.8515625" style="147" customWidth="1"/>
    <col min="4" max="4" width="66.28125" style="147" customWidth="1"/>
  </cols>
  <sheetData>
    <row r="1" spans="1:2" ht="18.75" thickBot="1">
      <c r="A1" s="145" t="s">
        <v>105</v>
      </c>
      <c r="B1" s="146"/>
    </row>
    <row r="2" spans="1:4" ht="15">
      <c r="A2" s="168" t="s">
        <v>106</v>
      </c>
      <c r="B2" s="148"/>
      <c r="C2" s="148"/>
      <c r="D2" s="149"/>
    </row>
    <row r="3" spans="1:4" ht="15">
      <c r="A3" s="169" t="s">
        <v>107</v>
      </c>
      <c r="B3" s="151"/>
      <c r="C3" s="151"/>
      <c r="D3" s="152"/>
    </row>
    <row r="4" spans="1:4" ht="15.75">
      <c r="A4" s="169" t="s">
        <v>171</v>
      </c>
      <c r="B4" s="151"/>
      <c r="C4" s="151"/>
      <c r="D4" s="152"/>
    </row>
    <row r="5" spans="1:4" ht="15">
      <c r="A5" s="169" t="s">
        <v>108</v>
      </c>
      <c r="B5" s="151"/>
      <c r="C5" s="151"/>
      <c r="D5" s="152"/>
    </row>
    <row r="6" spans="1:4" ht="9" customHeight="1">
      <c r="A6" s="170"/>
      <c r="B6" s="151"/>
      <c r="C6" s="154"/>
      <c r="D6" s="152"/>
    </row>
    <row r="7" spans="1:4" ht="15">
      <c r="A7" s="169" t="s">
        <v>109</v>
      </c>
      <c r="B7" s="151"/>
      <c r="C7" s="154"/>
      <c r="D7" s="152"/>
    </row>
    <row r="8" spans="1:4" ht="9" customHeight="1" thickBot="1">
      <c r="A8" s="171"/>
      <c r="B8" s="156"/>
      <c r="C8" s="156"/>
      <c r="D8" s="157"/>
    </row>
    <row r="9" spans="1:4" ht="15.75">
      <c r="A9" s="158" t="s">
        <v>63</v>
      </c>
      <c r="B9" s="148"/>
      <c r="C9" s="148"/>
      <c r="D9" s="149"/>
    </row>
    <row r="10" spans="1:4" ht="15">
      <c r="A10" s="150" t="s">
        <v>3</v>
      </c>
      <c r="B10" s="154"/>
      <c r="C10" s="154"/>
      <c r="D10" s="159" t="s">
        <v>110</v>
      </c>
    </row>
    <row r="11" spans="1:4" ht="9" customHeight="1">
      <c r="A11" s="150"/>
      <c r="B11" s="154"/>
      <c r="C11" s="154"/>
      <c r="D11" s="53"/>
    </row>
    <row r="12" spans="1:4" ht="15">
      <c r="A12" s="150" t="s">
        <v>55</v>
      </c>
      <c r="B12" s="154"/>
      <c r="C12" s="160"/>
      <c r="D12" s="159" t="s">
        <v>111</v>
      </c>
    </row>
    <row r="13" spans="1:4" ht="15">
      <c r="A13" s="150"/>
      <c r="B13" s="154"/>
      <c r="C13" s="160"/>
      <c r="D13" s="159" t="s">
        <v>112</v>
      </c>
    </row>
    <row r="14" spans="1:4" ht="9" customHeight="1">
      <c r="A14" s="150"/>
      <c r="B14" s="154"/>
      <c r="C14" s="160"/>
      <c r="D14" s="159"/>
    </row>
    <row r="15" spans="1:4" ht="15">
      <c r="A15" s="150" t="s">
        <v>115</v>
      </c>
      <c r="B15" s="154"/>
      <c r="C15" s="160"/>
      <c r="D15" s="159" t="s">
        <v>114</v>
      </c>
    </row>
    <row r="16" spans="1:4" ht="15">
      <c r="A16" s="150"/>
      <c r="B16" s="154"/>
      <c r="C16" s="160"/>
      <c r="D16" s="159" t="s">
        <v>113</v>
      </c>
    </row>
    <row r="17" spans="1:4" ht="15">
      <c r="A17" s="150"/>
      <c r="B17" s="154"/>
      <c r="C17" s="160"/>
      <c r="D17" s="159" t="s">
        <v>167</v>
      </c>
    </row>
    <row r="18" spans="1:4" ht="9" customHeight="1">
      <c r="A18" s="150"/>
      <c r="B18" s="154"/>
      <c r="C18" s="160"/>
      <c r="D18" s="159"/>
    </row>
    <row r="19" spans="1:4" ht="15">
      <c r="A19" s="150" t="s">
        <v>79</v>
      </c>
      <c r="B19" s="154"/>
      <c r="C19" s="160"/>
      <c r="D19" s="159" t="s">
        <v>116</v>
      </c>
    </row>
    <row r="20" spans="1:4" ht="15">
      <c r="A20" s="150"/>
      <c r="B20" s="154"/>
      <c r="C20" s="160"/>
      <c r="D20" s="159" t="s">
        <v>117</v>
      </c>
    </row>
    <row r="21" spans="1:4" ht="15">
      <c r="A21" s="153"/>
      <c r="B21" s="154"/>
      <c r="C21" s="160"/>
      <c r="D21" s="159" t="s">
        <v>118</v>
      </c>
    </row>
    <row r="22" spans="1:4" ht="9" customHeight="1" thickBot="1">
      <c r="A22" s="155"/>
      <c r="B22" s="156"/>
      <c r="C22" s="161"/>
      <c r="D22" s="162"/>
    </row>
    <row r="23" spans="1:4" ht="15.75">
      <c r="A23" s="158" t="s">
        <v>62</v>
      </c>
      <c r="B23" s="148"/>
      <c r="C23" s="163"/>
      <c r="D23" s="164"/>
    </row>
    <row r="24" spans="1:4" ht="15">
      <c r="A24" s="150" t="s">
        <v>121</v>
      </c>
      <c r="B24" s="154"/>
      <c r="C24" s="160"/>
      <c r="D24" s="159" t="s">
        <v>120</v>
      </c>
    </row>
    <row r="25" spans="1:4" ht="9" customHeight="1">
      <c r="A25" s="150"/>
      <c r="B25" s="154"/>
      <c r="C25" s="160"/>
      <c r="D25" s="159"/>
    </row>
    <row r="26" spans="1:4" ht="15">
      <c r="A26" s="150" t="s">
        <v>74</v>
      </c>
      <c r="B26" s="154"/>
      <c r="C26" s="160"/>
      <c r="D26" s="159" t="s">
        <v>122</v>
      </c>
    </row>
    <row r="27" spans="1:4" ht="15">
      <c r="A27" s="150"/>
      <c r="B27" s="154"/>
      <c r="C27" s="160"/>
      <c r="D27" s="159" t="s">
        <v>123</v>
      </c>
    </row>
    <row r="28" spans="1:4" ht="15">
      <c r="A28" s="150"/>
      <c r="B28" s="154"/>
      <c r="C28" s="160"/>
      <c r="D28" s="159" t="s">
        <v>124</v>
      </c>
    </row>
    <row r="29" spans="1:4" ht="15">
      <c r="A29" s="150"/>
      <c r="B29" s="154"/>
      <c r="C29" s="160"/>
      <c r="D29" s="159" t="s">
        <v>125</v>
      </c>
    </row>
    <row r="30" spans="1:4" ht="15">
      <c r="A30" s="150"/>
      <c r="B30" s="154"/>
      <c r="C30" s="160"/>
      <c r="D30" s="159" t="s">
        <v>126</v>
      </c>
    </row>
    <row r="31" spans="1:4" ht="9" customHeight="1">
      <c r="A31" s="150"/>
      <c r="B31" s="154"/>
      <c r="C31" s="160"/>
      <c r="D31" s="159"/>
    </row>
    <row r="32" spans="1:4" ht="15">
      <c r="A32" s="150" t="s">
        <v>130</v>
      </c>
      <c r="B32" s="154"/>
      <c r="C32" s="160"/>
      <c r="D32" s="159" t="s">
        <v>127</v>
      </c>
    </row>
    <row r="33" spans="1:4" ht="15">
      <c r="A33" s="150"/>
      <c r="B33" s="154"/>
      <c r="C33" s="160"/>
      <c r="D33" s="159" t="s">
        <v>128</v>
      </c>
    </row>
    <row r="34" spans="1:4" ht="15">
      <c r="A34" s="150"/>
      <c r="B34" s="154"/>
      <c r="C34" s="160"/>
      <c r="D34" s="159" t="s">
        <v>129</v>
      </c>
    </row>
    <row r="35" spans="1:4" ht="9" customHeight="1">
      <c r="A35" s="150"/>
      <c r="B35" s="154"/>
      <c r="C35" s="160"/>
      <c r="D35" s="159"/>
    </row>
    <row r="36" spans="1:4" ht="15">
      <c r="A36" s="150" t="s">
        <v>133</v>
      </c>
      <c r="B36" s="154"/>
      <c r="C36" s="160"/>
      <c r="D36" s="159" t="s">
        <v>131</v>
      </c>
    </row>
    <row r="37" spans="1:4" ht="15">
      <c r="A37" s="150"/>
      <c r="B37" s="154"/>
      <c r="C37" s="160"/>
      <c r="D37" s="159" t="s">
        <v>132</v>
      </c>
    </row>
    <row r="38" spans="1:4" ht="15">
      <c r="A38" s="150" t="s">
        <v>168</v>
      </c>
      <c r="B38" s="154"/>
      <c r="C38" s="160"/>
      <c r="D38" s="159"/>
    </row>
    <row r="39" spans="1:4" ht="15">
      <c r="A39" s="150" t="s">
        <v>119</v>
      </c>
      <c r="B39" s="154"/>
      <c r="C39" s="160"/>
      <c r="D39" s="159"/>
    </row>
    <row r="40" spans="1:4" ht="15">
      <c r="A40" s="150" t="s">
        <v>134</v>
      </c>
      <c r="B40" s="154"/>
      <c r="C40" s="160"/>
      <c r="D40" s="165" t="s">
        <v>135</v>
      </c>
    </row>
    <row r="41" spans="1:4" ht="15">
      <c r="A41" s="150"/>
      <c r="B41" s="154"/>
      <c r="C41" s="160"/>
      <c r="D41" s="159" t="s">
        <v>136</v>
      </c>
    </row>
    <row r="42" spans="1:4" ht="15">
      <c r="A42" s="150"/>
      <c r="B42" s="154"/>
      <c r="C42" s="160"/>
      <c r="D42" s="159" t="s">
        <v>137</v>
      </c>
    </row>
    <row r="43" spans="1:4" ht="9" customHeight="1">
      <c r="A43" s="150"/>
      <c r="B43" s="154"/>
      <c r="C43" s="160"/>
      <c r="D43" s="159"/>
    </row>
    <row r="44" spans="1:4" ht="15">
      <c r="A44" s="150" t="s">
        <v>142</v>
      </c>
      <c r="B44" s="154"/>
      <c r="C44" s="160"/>
      <c r="D44" s="165" t="s">
        <v>138</v>
      </c>
    </row>
    <row r="45" spans="1:4" ht="15">
      <c r="A45" s="150" t="s">
        <v>143</v>
      </c>
      <c r="B45" s="154"/>
      <c r="C45" s="160"/>
      <c r="D45" s="159" t="s">
        <v>139</v>
      </c>
    </row>
    <row r="46" spans="1:4" ht="15">
      <c r="A46" s="150"/>
      <c r="B46" s="154"/>
      <c r="C46" s="160"/>
      <c r="D46" s="159" t="s">
        <v>140</v>
      </c>
    </row>
    <row r="47" spans="1:4" ht="15">
      <c r="A47" s="150"/>
      <c r="B47" s="154"/>
      <c r="C47" s="160"/>
      <c r="D47" s="159" t="s">
        <v>141</v>
      </c>
    </row>
    <row r="48" spans="1:4" ht="15">
      <c r="A48" s="150" t="s">
        <v>144</v>
      </c>
      <c r="B48" s="154"/>
      <c r="C48" s="160"/>
      <c r="D48" s="159"/>
    </row>
    <row r="49" spans="1:4" ht="9" customHeight="1" thickBot="1">
      <c r="A49" s="155"/>
      <c r="B49" s="156"/>
      <c r="C49" s="161"/>
      <c r="D49" s="162"/>
    </row>
    <row r="50" spans="1:4" ht="15.75">
      <c r="A50" s="158" t="s">
        <v>64</v>
      </c>
      <c r="B50" s="148"/>
      <c r="C50" s="163"/>
      <c r="D50" s="164"/>
    </row>
    <row r="51" spans="1:4" ht="9" customHeight="1">
      <c r="A51" s="150"/>
      <c r="B51" s="154"/>
      <c r="C51" s="160"/>
      <c r="D51" s="159"/>
    </row>
    <row r="52" spans="1:4" ht="15">
      <c r="A52" s="150" t="s">
        <v>65</v>
      </c>
      <c r="B52" s="154"/>
      <c r="C52" s="160"/>
      <c r="D52" s="159" t="s">
        <v>145</v>
      </c>
    </row>
    <row r="53" spans="1:4" ht="15">
      <c r="A53" s="150"/>
      <c r="B53" s="154"/>
      <c r="C53" s="160"/>
      <c r="D53" s="159" t="s">
        <v>146</v>
      </c>
    </row>
    <row r="54" spans="1:4" ht="9" customHeight="1">
      <c r="A54" s="150"/>
      <c r="B54" s="154"/>
      <c r="C54" s="160"/>
      <c r="D54" s="159"/>
    </row>
    <row r="55" spans="1:4" ht="15">
      <c r="A55" s="150" t="s">
        <v>149</v>
      </c>
      <c r="B55" s="154"/>
      <c r="C55" s="160"/>
      <c r="D55" s="159" t="s">
        <v>147</v>
      </c>
    </row>
    <row r="56" spans="1:4" ht="15">
      <c r="A56" s="150"/>
      <c r="B56" s="154"/>
      <c r="C56" s="160"/>
      <c r="D56" s="159" t="s">
        <v>148</v>
      </c>
    </row>
    <row r="57" spans="1:4" ht="9" customHeight="1">
      <c r="A57" s="150"/>
      <c r="B57" s="154"/>
      <c r="C57" s="160"/>
      <c r="D57" s="159"/>
    </row>
    <row r="58" spans="1:4" ht="15">
      <c r="A58" s="150" t="s">
        <v>169</v>
      </c>
      <c r="B58" s="154"/>
      <c r="C58" s="160"/>
      <c r="D58" s="159" t="s">
        <v>150</v>
      </c>
    </row>
    <row r="59" spans="1:4" ht="15">
      <c r="A59" s="150"/>
      <c r="B59" s="154"/>
      <c r="C59" s="160"/>
      <c r="D59" s="159" t="s">
        <v>151</v>
      </c>
    </row>
    <row r="60" spans="1:4" ht="9" customHeight="1" thickBot="1">
      <c r="A60" s="166"/>
      <c r="B60" s="156"/>
      <c r="C60" s="161"/>
      <c r="D60" s="162"/>
    </row>
    <row r="61" spans="1:4" ht="15.75">
      <c r="A61" s="158" t="s">
        <v>72</v>
      </c>
      <c r="B61" s="148"/>
      <c r="C61" s="163"/>
      <c r="D61" s="164"/>
    </row>
    <row r="62" spans="1:4" ht="9" customHeight="1">
      <c r="A62" s="150"/>
      <c r="B62" s="154"/>
      <c r="C62" s="160"/>
      <c r="D62" s="159"/>
    </row>
    <row r="63" spans="1:4" ht="15">
      <c r="A63" s="150" t="s">
        <v>73</v>
      </c>
      <c r="B63" s="154"/>
      <c r="C63" s="160"/>
      <c r="D63" s="159" t="s">
        <v>152</v>
      </c>
    </row>
    <row r="64" spans="1:4" ht="15">
      <c r="A64" s="150"/>
      <c r="B64" s="154"/>
      <c r="C64" s="160"/>
      <c r="D64" s="159" t="s">
        <v>153</v>
      </c>
    </row>
    <row r="65" spans="1:4" ht="9" customHeight="1">
      <c r="A65" s="150"/>
      <c r="B65" s="154"/>
      <c r="C65" s="160"/>
      <c r="D65" s="159"/>
    </row>
    <row r="66" spans="1:4" ht="15">
      <c r="A66" s="150" t="s">
        <v>74</v>
      </c>
      <c r="B66" s="154"/>
      <c r="C66" s="160"/>
      <c r="D66" s="159" t="s">
        <v>154</v>
      </c>
    </row>
    <row r="67" spans="1:4" ht="15">
      <c r="A67" s="150"/>
      <c r="B67" s="154"/>
      <c r="C67" s="154"/>
      <c r="D67" s="159" t="s">
        <v>155</v>
      </c>
    </row>
    <row r="68" spans="1:4" ht="9" customHeight="1">
      <c r="A68" s="150"/>
      <c r="B68" s="154"/>
      <c r="C68" s="154"/>
      <c r="D68" s="159"/>
    </row>
    <row r="69" spans="1:4" ht="15">
      <c r="A69" s="150" t="s">
        <v>99</v>
      </c>
      <c r="B69" s="154"/>
      <c r="C69" s="154"/>
      <c r="D69" s="159" t="s">
        <v>156</v>
      </c>
    </row>
    <row r="70" spans="1:4" ht="15">
      <c r="A70" s="150"/>
      <c r="B70" s="154"/>
      <c r="C70" s="154"/>
      <c r="D70" s="159" t="s">
        <v>157</v>
      </c>
    </row>
    <row r="71" spans="1:4" ht="15">
      <c r="A71" s="150"/>
      <c r="B71" s="154"/>
      <c r="C71" s="154"/>
      <c r="D71" s="159" t="s">
        <v>158</v>
      </c>
    </row>
    <row r="72" spans="1:4" ht="9" customHeight="1">
      <c r="A72" s="150"/>
      <c r="B72" s="154"/>
      <c r="C72" s="154"/>
      <c r="D72" s="159"/>
    </row>
    <row r="73" spans="1:4" ht="15">
      <c r="A73" s="150" t="s">
        <v>163</v>
      </c>
      <c r="B73" s="154"/>
      <c r="C73" s="154"/>
      <c r="D73" s="159" t="s">
        <v>159</v>
      </c>
    </row>
    <row r="74" spans="1:4" ht="15">
      <c r="A74" s="153"/>
      <c r="B74" s="154"/>
      <c r="C74" s="154"/>
      <c r="D74" s="159" t="s">
        <v>160</v>
      </c>
    </row>
    <row r="75" spans="1:4" ht="15">
      <c r="A75" s="153"/>
      <c r="B75" s="154"/>
      <c r="C75" s="154"/>
      <c r="D75" s="159" t="s">
        <v>161</v>
      </c>
    </row>
    <row r="76" spans="1:4" ht="15">
      <c r="A76" s="153"/>
      <c r="B76" s="154"/>
      <c r="C76" s="154"/>
      <c r="D76" s="159" t="s">
        <v>162</v>
      </c>
    </row>
    <row r="77" spans="1:4" ht="9" customHeight="1" thickBot="1">
      <c r="A77" s="155"/>
      <c r="B77" s="156"/>
      <c r="C77" s="156"/>
      <c r="D77" s="162"/>
    </row>
    <row r="78" spans="1:4" ht="15">
      <c r="A78" s="167" t="s">
        <v>164</v>
      </c>
      <c r="B78" s="148"/>
      <c r="C78" s="148"/>
      <c r="D78" s="164" t="s">
        <v>165</v>
      </c>
    </row>
    <row r="79" spans="1:4" ht="15.75" thickBot="1">
      <c r="A79" s="155"/>
      <c r="B79" s="156"/>
      <c r="C79" s="156"/>
      <c r="D79" s="162" t="s">
        <v>166</v>
      </c>
    </row>
  </sheetData>
  <sheetProtection password="AF6C" sheet="1" objects="1" scenarios="1"/>
  <printOptions/>
  <pageMargins left="0.787401575" right="0.787401575" top="0.984251969" bottom="0.984251969" header="0.4921259845" footer="0.4921259845"/>
  <pageSetup fitToHeight="1" fitToWidth="1" horizontalDpi="200" verticalDpi="200" orientation="portrait" paperSize="9" scale="67" r:id="rId2"/>
  <headerFooter alignWithMargins="0">
    <oddHeader>&amp;R&amp;G</oddHeader>
    <oddFooter>&amp;CBöSha Technische Produkte GmbH &amp; Co.KG, Heidberg 21, D-59602 Rüthen, www.boesha.de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G58"/>
  <sheetViews>
    <sheetView zoomScale="75" zoomScaleNormal="75" zoomScalePageLayoutView="0" workbookViewId="0" topLeftCell="A20">
      <selection activeCell="C34" sqref="C34"/>
    </sheetView>
  </sheetViews>
  <sheetFormatPr defaultColWidth="11.421875" defaultRowHeight="12.75"/>
  <cols>
    <col min="2" max="2" width="39.57421875" style="0" customWidth="1"/>
    <col min="3" max="3" width="21.421875" style="0" customWidth="1"/>
    <col min="12" max="12" width="23.140625" style="0" customWidth="1"/>
    <col min="13" max="13" width="23.28125" style="0" customWidth="1"/>
  </cols>
  <sheetData>
    <row r="1" ht="12.75">
      <c r="B1" t="s">
        <v>68</v>
      </c>
    </row>
    <row r="2" ht="12.75">
      <c r="B2" t="s">
        <v>69</v>
      </c>
    </row>
    <row r="3" ht="12.75">
      <c r="B3" t="s">
        <v>70</v>
      </c>
    </row>
    <row r="4" ht="12.75">
      <c r="B4" t="s">
        <v>71</v>
      </c>
    </row>
    <row r="9" ht="15" customHeight="1">
      <c r="B9" s="62" t="s">
        <v>50</v>
      </c>
    </row>
    <row r="10" ht="15" customHeight="1"/>
    <row r="11" spans="2:5" s="66" customFormat="1" ht="15" customHeight="1">
      <c r="B11" s="67" t="s">
        <v>51</v>
      </c>
      <c r="C11" s="67"/>
      <c r="D11" s="67"/>
      <c r="E11" s="67"/>
    </row>
    <row r="12" spans="2:5" s="66" customFormat="1" ht="15" customHeight="1">
      <c r="B12" s="67" t="s">
        <v>52</v>
      </c>
      <c r="C12" s="67"/>
      <c r="D12" s="67"/>
      <c r="E12" s="67"/>
    </row>
    <row r="13" spans="2:5" s="66" customFormat="1" ht="15" customHeight="1">
      <c r="B13" s="67"/>
      <c r="C13" s="67"/>
      <c r="D13" s="67"/>
      <c r="E13" s="67"/>
    </row>
    <row r="14" spans="2:5" s="66" customFormat="1" ht="15" customHeight="1">
      <c r="B14" s="67" t="s">
        <v>53</v>
      </c>
      <c r="C14" s="67"/>
      <c r="D14" s="67"/>
      <c r="E14" s="67"/>
    </row>
    <row r="15" spans="2:5" s="66" customFormat="1" ht="15" customHeight="1">
      <c r="B15" s="67" t="s">
        <v>54</v>
      </c>
      <c r="C15" s="67"/>
      <c r="D15" s="67"/>
      <c r="E15" s="67"/>
    </row>
    <row r="16" s="66" customFormat="1" ht="15" customHeight="1" thickBot="1"/>
    <row r="17" spans="2:7" s="66" customFormat="1" ht="15" customHeight="1">
      <c r="B17" s="68" t="s">
        <v>63</v>
      </c>
      <c r="C17" s="69"/>
      <c r="D17" s="69"/>
      <c r="E17" s="69"/>
      <c r="F17" s="69"/>
      <c r="G17" s="70"/>
    </row>
    <row r="18" spans="2:7" s="66" customFormat="1" ht="15" customHeight="1">
      <c r="B18" s="71"/>
      <c r="C18" s="72"/>
      <c r="D18" s="72"/>
      <c r="E18" s="72"/>
      <c r="F18" s="72"/>
      <c r="G18" s="73"/>
    </row>
    <row r="19" spans="2:7" s="66" customFormat="1" ht="15" customHeight="1">
      <c r="B19" s="80" t="s">
        <v>3</v>
      </c>
      <c r="C19" s="109" t="s">
        <v>174</v>
      </c>
      <c r="D19" s="72"/>
      <c r="E19" s="72"/>
      <c r="F19" s="72"/>
      <c r="G19" s="73"/>
    </row>
    <row r="20" spans="2:7" s="66" customFormat="1" ht="15" customHeight="1">
      <c r="B20" s="81" t="s">
        <v>55</v>
      </c>
      <c r="C20" s="93">
        <v>100</v>
      </c>
      <c r="D20" s="72" t="s">
        <v>60</v>
      </c>
      <c r="E20" s="72"/>
      <c r="F20" s="72"/>
      <c r="G20" s="73"/>
    </row>
    <row r="21" spans="2:7" s="66" customFormat="1" ht="15" customHeight="1">
      <c r="B21" s="81" t="s">
        <v>58</v>
      </c>
      <c r="C21" s="95">
        <v>0.17</v>
      </c>
      <c r="D21" s="72" t="s">
        <v>61</v>
      </c>
      <c r="E21" s="72"/>
      <c r="F21" s="72"/>
      <c r="G21" s="73"/>
    </row>
    <row r="22" spans="2:7" s="66" customFormat="1" ht="15" customHeight="1">
      <c r="B22" s="81" t="s">
        <v>79</v>
      </c>
      <c r="C22" s="93">
        <v>4200</v>
      </c>
      <c r="D22" s="72" t="s">
        <v>104</v>
      </c>
      <c r="E22" s="72"/>
      <c r="F22" s="72"/>
      <c r="G22" s="73"/>
    </row>
    <row r="23" spans="2:7" s="66" customFormat="1" ht="15" customHeight="1" thickBot="1">
      <c r="B23" s="74"/>
      <c r="C23" s="75"/>
      <c r="D23" s="75"/>
      <c r="E23" s="75"/>
      <c r="F23" s="75"/>
      <c r="G23" s="76"/>
    </row>
    <row r="24" s="66" customFormat="1" ht="15" customHeight="1" thickBot="1"/>
    <row r="25" spans="2:7" s="66" customFormat="1" ht="15" customHeight="1">
      <c r="B25" s="68" t="s">
        <v>62</v>
      </c>
      <c r="C25" s="69"/>
      <c r="D25" s="69"/>
      <c r="E25" s="69"/>
      <c r="F25" s="69"/>
      <c r="G25" s="70"/>
    </row>
    <row r="26" spans="2:7" s="66" customFormat="1" ht="15" customHeight="1">
      <c r="B26" s="71"/>
      <c r="C26" s="72"/>
      <c r="D26" s="72"/>
      <c r="E26" s="72"/>
      <c r="F26" s="72"/>
      <c r="G26" s="73"/>
    </row>
    <row r="27" spans="2:7" s="66" customFormat="1" ht="15" customHeight="1">
      <c r="B27" s="81" t="s">
        <v>56</v>
      </c>
      <c r="C27" s="91" t="s">
        <v>173</v>
      </c>
      <c r="D27" s="72" t="s">
        <v>57</v>
      </c>
      <c r="E27" s="72"/>
      <c r="F27" s="72"/>
      <c r="G27" s="73"/>
    </row>
    <row r="28" spans="2:7" s="66" customFormat="1" ht="15" customHeight="1">
      <c r="B28" s="81" t="s">
        <v>74</v>
      </c>
      <c r="C28" s="91">
        <v>285</v>
      </c>
      <c r="D28" s="72"/>
      <c r="E28" s="72"/>
      <c r="F28" s="72"/>
      <c r="G28" s="73"/>
    </row>
    <row r="29" spans="2:7" s="66" customFormat="1" ht="15" customHeight="1">
      <c r="B29" s="81" t="s">
        <v>77</v>
      </c>
      <c r="C29" s="94">
        <v>7.02</v>
      </c>
      <c r="D29" s="72" t="s">
        <v>67</v>
      </c>
      <c r="E29" s="72"/>
      <c r="F29" s="72"/>
      <c r="G29" s="73"/>
    </row>
    <row r="30" spans="2:7" s="66" customFormat="1" ht="15" customHeight="1">
      <c r="B30" s="81" t="s">
        <v>78</v>
      </c>
      <c r="C30" s="91">
        <v>8000</v>
      </c>
      <c r="D30" s="72" t="s">
        <v>59</v>
      </c>
      <c r="E30" s="72"/>
      <c r="F30" s="72"/>
      <c r="G30" s="73"/>
    </row>
    <row r="31" spans="2:7" s="66" customFormat="1" ht="15" customHeight="1">
      <c r="B31" s="81" t="s">
        <v>170</v>
      </c>
      <c r="C31" s="113"/>
      <c r="D31" s="108" t="s">
        <v>84</v>
      </c>
      <c r="E31" s="72"/>
      <c r="F31" s="72"/>
      <c r="G31" s="73"/>
    </row>
    <row r="32" spans="2:7" s="66" customFormat="1" ht="15" customHeight="1">
      <c r="B32" s="81" t="s">
        <v>9</v>
      </c>
      <c r="C32" s="114"/>
      <c r="D32" s="72" t="s">
        <v>85</v>
      </c>
      <c r="E32" s="72"/>
      <c r="F32" s="72"/>
      <c r="G32" s="73"/>
    </row>
    <row r="33" spans="2:7" s="66" customFormat="1" ht="15" customHeight="1">
      <c r="B33" s="81" t="s">
        <v>10</v>
      </c>
      <c r="C33" s="114"/>
      <c r="D33" s="72" t="s">
        <v>86</v>
      </c>
      <c r="E33" s="72"/>
      <c r="F33" s="72"/>
      <c r="G33" s="73"/>
    </row>
    <row r="34" spans="2:7" ht="15" customHeight="1">
      <c r="B34" s="112" t="s">
        <v>88</v>
      </c>
      <c r="C34" s="114">
        <v>2800</v>
      </c>
      <c r="D34" s="72" t="s">
        <v>87</v>
      </c>
      <c r="E34" s="72"/>
      <c r="F34" s="72"/>
      <c r="G34" s="73"/>
    </row>
    <row r="35" spans="2:7" s="66" customFormat="1" ht="15" customHeight="1" thickBot="1">
      <c r="B35" s="27"/>
      <c r="C35" s="77"/>
      <c r="D35" s="77"/>
      <c r="E35" s="77"/>
      <c r="F35" s="77"/>
      <c r="G35" s="28"/>
    </row>
    <row r="36" spans="2:7" ht="15" customHeight="1" thickBot="1">
      <c r="B36" s="66"/>
      <c r="C36" s="66"/>
      <c r="D36" s="66"/>
      <c r="E36" s="66"/>
      <c r="F36" s="66"/>
      <c r="G36" s="66"/>
    </row>
    <row r="37" spans="2:7" s="66" customFormat="1" ht="15" customHeight="1">
      <c r="B37" s="68" t="s">
        <v>64</v>
      </c>
      <c r="C37" s="78"/>
      <c r="D37" s="78"/>
      <c r="E37" s="78"/>
      <c r="F37" s="78"/>
      <c r="G37" s="7"/>
    </row>
    <row r="38" spans="2:7" ht="15" customHeight="1">
      <c r="B38" s="71"/>
      <c r="C38" s="72"/>
      <c r="D38" s="72"/>
      <c r="E38" s="72"/>
      <c r="F38" s="72"/>
      <c r="G38" s="73"/>
    </row>
    <row r="39" spans="2:7" s="66" customFormat="1" ht="15" customHeight="1">
      <c r="B39" s="81" t="s">
        <v>65</v>
      </c>
      <c r="C39" s="105">
        <v>2.5</v>
      </c>
      <c r="D39" s="72" t="s">
        <v>76</v>
      </c>
      <c r="E39" s="9"/>
      <c r="F39" s="9"/>
      <c r="G39" s="10"/>
    </row>
    <row r="40" spans="2:7" ht="15" customHeight="1">
      <c r="B40" s="81" t="s">
        <v>66</v>
      </c>
      <c r="C40" s="105">
        <v>5</v>
      </c>
      <c r="D40" s="72" t="s">
        <v>75</v>
      </c>
      <c r="E40" s="72"/>
      <c r="F40" s="72"/>
      <c r="G40" s="73"/>
    </row>
    <row r="41" spans="2:7" ht="15" customHeight="1">
      <c r="B41" s="71"/>
      <c r="C41" s="136"/>
      <c r="D41" s="72"/>
      <c r="E41" s="72"/>
      <c r="F41" s="72"/>
      <c r="G41" s="73"/>
    </row>
    <row r="42" spans="2:7" ht="15" customHeight="1">
      <c r="B42" s="81" t="s">
        <v>95</v>
      </c>
      <c r="C42" s="172">
        <v>8</v>
      </c>
      <c r="D42" s="72" t="s">
        <v>75</v>
      </c>
      <c r="E42" s="72"/>
      <c r="F42" s="72"/>
      <c r="G42" s="73"/>
    </row>
    <row r="43" spans="2:7" s="66" customFormat="1" ht="15" customHeight="1" thickBot="1">
      <c r="B43" s="27"/>
      <c r="C43" s="77"/>
      <c r="D43" s="77"/>
      <c r="E43" s="77"/>
      <c r="F43" s="77"/>
      <c r="G43" s="28"/>
    </row>
    <row r="44" spans="2:7" ht="15" customHeight="1" thickBot="1">
      <c r="B44" s="66"/>
      <c r="C44" s="66"/>
      <c r="D44" s="66"/>
      <c r="E44" s="66"/>
      <c r="F44" s="66"/>
      <c r="G44" s="66"/>
    </row>
    <row r="45" spans="2:7" s="66" customFormat="1" ht="15" customHeight="1">
      <c r="B45" s="68" t="s">
        <v>72</v>
      </c>
      <c r="C45" s="78"/>
      <c r="D45" s="78"/>
      <c r="E45" s="78"/>
      <c r="F45" s="78"/>
      <c r="G45" s="7"/>
    </row>
    <row r="46" spans="2:7" ht="15" customHeight="1">
      <c r="B46" s="71"/>
      <c r="C46" s="72"/>
      <c r="D46" s="72"/>
      <c r="E46" s="72"/>
      <c r="F46" s="72"/>
      <c r="G46" s="73"/>
    </row>
    <row r="47" spans="2:7" s="66" customFormat="1" ht="15" customHeight="1">
      <c r="B47" s="81" t="s">
        <v>73</v>
      </c>
      <c r="C47" s="92" t="s">
        <v>172</v>
      </c>
      <c r="D47" s="9"/>
      <c r="E47" s="9"/>
      <c r="F47" s="9"/>
      <c r="G47" s="10"/>
    </row>
    <row r="48" spans="2:7" s="66" customFormat="1" ht="15.75">
      <c r="B48" s="81" t="s">
        <v>74</v>
      </c>
      <c r="C48" s="92">
        <v>100</v>
      </c>
      <c r="D48" s="72"/>
      <c r="E48" s="72"/>
      <c r="F48" s="72"/>
      <c r="G48" s="73"/>
    </row>
    <row r="49" spans="2:7" ht="15.75">
      <c r="B49" s="81" t="s">
        <v>80</v>
      </c>
      <c r="C49" s="96">
        <v>932</v>
      </c>
      <c r="D49" s="72"/>
      <c r="E49" s="72"/>
      <c r="F49" s="72"/>
      <c r="G49" s="73"/>
    </row>
    <row r="50" spans="2:7" ht="15.75">
      <c r="B50" s="138"/>
      <c r="C50" s="137"/>
      <c r="D50" s="72"/>
      <c r="E50" s="72"/>
      <c r="F50" s="72"/>
      <c r="G50" s="73"/>
    </row>
    <row r="51" spans="2:7" ht="15.75">
      <c r="B51" s="81" t="s">
        <v>99</v>
      </c>
      <c r="C51" s="140">
        <v>10</v>
      </c>
      <c r="D51" s="72" t="s">
        <v>97</v>
      </c>
      <c r="E51" s="72"/>
      <c r="F51" s="72"/>
      <c r="G51" s="73"/>
    </row>
    <row r="52" spans="2:7" ht="15.75">
      <c r="B52" s="81" t="s">
        <v>100</v>
      </c>
      <c r="C52" s="139">
        <v>1</v>
      </c>
      <c r="D52" s="72" t="s">
        <v>98</v>
      </c>
      <c r="E52" s="72"/>
      <c r="F52" s="72"/>
      <c r="G52" s="73"/>
    </row>
    <row r="53" spans="2:7" ht="13.5" thickBot="1">
      <c r="B53" s="27"/>
      <c r="C53" s="77"/>
      <c r="D53" s="77"/>
      <c r="E53" s="77"/>
      <c r="F53" s="77"/>
      <c r="G53" s="28"/>
    </row>
    <row r="54" ht="13.5" thickBot="1"/>
    <row r="55" spans="2:7" ht="15.75">
      <c r="B55" s="123" t="s">
        <v>90</v>
      </c>
      <c r="C55" s="78"/>
      <c r="D55" s="78"/>
      <c r="E55" s="78"/>
      <c r="F55" s="78"/>
      <c r="G55" s="7"/>
    </row>
    <row r="56" spans="2:7" ht="15">
      <c r="B56" s="81" t="s">
        <v>91</v>
      </c>
      <c r="C56" s="124">
        <v>0</v>
      </c>
      <c r="D56" s="9"/>
      <c r="E56" s="9"/>
      <c r="F56" s="9"/>
      <c r="G56" s="10"/>
    </row>
    <row r="57" spans="2:7" ht="15">
      <c r="B57" s="81" t="s">
        <v>92</v>
      </c>
      <c r="C57" s="135">
        <f>IF(C56=0,0,100/C56)</f>
        <v>0</v>
      </c>
      <c r="D57" s="9"/>
      <c r="E57" s="9"/>
      <c r="F57" s="9"/>
      <c r="G57" s="10"/>
    </row>
    <row r="58" spans="2:7" ht="13.5" thickBot="1">
      <c r="B58" s="27"/>
      <c r="C58" s="77"/>
      <c r="D58" s="77"/>
      <c r="E58" s="77"/>
      <c r="F58" s="77"/>
      <c r="G58" s="28"/>
    </row>
  </sheetData>
  <sheetProtection/>
  <protectedRanges>
    <protectedRange sqref="C42" name="Bereich6"/>
    <protectedRange sqref="C19:C22" name="Bereich1"/>
    <protectedRange sqref="C27:C34" name="Bereich2"/>
    <protectedRange sqref="C39:C40" name="Bereich3"/>
    <protectedRange sqref="C47:C52" name="Bereich4"/>
    <protectedRange sqref="C56" name="Bereich5"/>
  </protectedRanges>
  <printOptions/>
  <pageMargins left="0.787401575" right="0.787401575" top="0.984251969" bottom="0.984251969" header="0.4921259845" footer="0.4921259845"/>
  <pageSetup fitToHeight="1" fitToWidth="1" horizontalDpi="200" verticalDpi="200" orientation="landscape" paperSize="9" scale="54" r:id="rId3"/>
  <headerFooter alignWithMargins="0">
    <oddHeader>&amp;R&amp;G</oddHeader>
    <oddFooter>&amp;CBöSha Technische Produkte GmbH &amp; Co.KG, Heidberg 21, D-59602 Rüthen, www.boesha.de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X61"/>
  <sheetViews>
    <sheetView tabSelected="1" zoomScale="50" zoomScaleNormal="50" zoomScalePageLayoutView="0" workbookViewId="0" topLeftCell="A1">
      <selection activeCell="D44" sqref="D44"/>
    </sheetView>
  </sheetViews>
  <sheetFormatPr defaultColWidth="11.421875" defaultRowHeight="12.75"/>
  <cols>
    <col min="2" max="2" width="24.57421875" style="0" customWidth="1"/>
    <col min="3" max="4" width="15.8515625" style="0" customWidth="1"/>
    <col min="5" max="5" width="3.7109375" style="0" customWidth="1"/>
    <col min="6" max="6" width="17.28125" style="0" customWidth="1"/>
    <col min="7" max="7" width="13.57421875" style="0" customWidth="1"/>
    <col min="8" max="8" width="13.00390625" style="0" customWidth="1"/>
    <col min="9" max="9" width="13.28125" style="0" hidden="1" customWidth="1"/>
    <col min="10" max="10" width="0.13671875" style="0" hidden="1" customWidth="1"/>
    <col min="11" max="11" width="13.7109375" style="0" customWidth="1"/>
    <col min="12" max="12" width="0.2890625" style="0" hidden="1" customWidth="1"/>
    <col min="13" max="13" width="14.140625" style="0" hidden="1" customWidth="1"/>
    <col min="14" max="14" width="14.140625" style="0" customWidth="1"/>
    <col min="15" max="15" width="12.8515625" style="0" customWidth="1"/>
    <col min="16" max="16" width="15.00390625" style="0" customWidth="1"/>
    <col min="17" max="18" width="15.28125" style="0" hidden="1" customWidth="1"/>
    <col min="19" max="19" width="15.28125" style="0" customWidth="1"/>
    <col min="20" max="20" width="12.8515625" style="0" customWidth="1"/>
    <col min="21" max="21" width="14.28125" style="0" customWidth="1"/>
    <col min="22" max="22" width="0.13671875" style="0" hidden="1" customWidth="1"/>
    <col min="23" max="23" width="9.00390625" style="0" customWidth="1"/>
  </cols>
  <sheetData>
    <row r="1" spans="1:19" ht="18.75" thickBot="1">
      <c r="A1" s="62" t="s">
        <v>50</v>
      </c>
      <c r="B1" s="63"/>
      <c r="K1" t="s">
        <v>39</v>
      </c>
      <c r="O1" t="s">
        <v>40</v>
      </c>
      <c r="S1" t="s">
        <v>41</v>
      </c>
    </row>
    <row r="2" spans="1:24" ht="16.5" thickBot="1">
      <c r="A2" s="56" t="s">
        <v>0</v>
      </c>
      <c r="B2" s="101" t="str">
        <f>Datenerfassung!C19</f>
        <v>Soest</v>
      </c>
      <c r="C2" s="57"/>
      <c r="D2" s="58"/>
      <c r="F2" s="6"/>
      <c r="G2" s="7"/>
      <c r="H2" s="125"/>
      <c r="I2" s="78"/>
      <c r="J2" s="78"/>
      <c r="K2" s="29" t="s">
        <v>14</v>
      </c>
      <c r="L2" s="6"/>
      <c r="M2" s="7"/>
      <c r="N2" s="29" t="s">
        <v>19</v>
      </c>
      <c r="O2" s="29" t="s">
        <v>34</v>
      </c>
      <c r="P2" s="42" t="s">
        <v>36</v>
      </c>
      <c r="Q2" s="44"/>
      <c r="R2" s="46"/>
      <c r="S2" s="44" t="s">
        <v>22</v>
      </c>
      <c r="T2" s="46" t="s">
        <v>42</v>
      </c>
      <c r="U2" s="131" t="s">
        <v>89</v>
      </c>
      <c r="V2" s="132"/>
      <c r="W2" s="132"/>
      <c r="X2" s="133"/>
    </row>
    <row r="3" spans="1:24" ht="12.75">
      <c r="A3" s="55"/>
      <c r="B3" s="55"/>
      <c r="C3" s="100" t="s">
        <v>2</v>
      </c>
      <c r="D3" s="100" t="s">
        <v>3</v>
      </c>
      <c r="F3" s="11"/>
      <c r="G3" s="10"/>
      <c r="H3" s="30"/>
      <c r="I3" s="9"/>
      <c r="J3" s="9"/>
      <c r="K3" s="30" t="s">
        <v>18</v>
      </c>
      <c r="L3" s="11"/>
      <c r="M3" s="10"/>
      <c r="N3" s="30" t="s">
        <v>18</v>
      </c>
      <c r="O3" s="41" t="s">
        <v>35</v>
      </c>
      <c r="P3" s="43" t="s">
        <v>37</v>
      </c>
      <c r="Q3" s="11"/>
      <c r="R3" s="10"/>
      <c r="S3" s="11" t="s">
        <v>36</v>
      </c>
      <c r="T3" s="10"/>
      <c r="U3" s="8" t="s">
        <v>101</v>
      </c>
      <c r="V3" s="9"/>
      <c r="W3" s="9"/>
      <c r="X3" s="10"/>
    </row>
    <row r="4" spans="1:24" ht="12.75">
      <c r="A4" s="90"/>
      <c r="B4" s="90"/>
      <c r="C4" s="97"/>
      <c r="D4" s="97"/>
      <c r="F4" s="11"/>
      <c r="G4" s="10"/>
      <c r="H4" s="30"/>
      <c r="I4" s="9"/>
      <c r="J4" s="9"/>
      <c r="K4" s="30"/>
      <c r="L4" s="11"/>
      <c r="M4" s="10"/>
      <c r="N4" s="30"/>
      <c r="O4" s="30"/>
      <c r="P4" s="30"/>
      <c r="Q4" s="11"/>
      <c r="R4" s="10"/>
      <c r="S4" s="11" t="s">
        <v>23</v>
      </c>
      <c r="T4" s="10"/>
      <c r="U4" s="11" t="s">
        <v>93</v>
      </c>
      <c r="V4" s="9"/>
      <c r="W4" s="9"/>
      <c r="X4" s="10" t="s">
        <v>94</v>
      </c>
    </row>
    <row r="5" spans="1:24" ht="12.75">
      <c r="A5" s="18" t="s">
        <v>1</v>
      </c>
      <c r="B5" s="18"/>
      <c r="C5" s="98" t="str">
        <f>Datenerfassung!C47</f>
        <v>Janus 20</v>
      </c>
      <c r="D5" s="99" t="str">
        <f>Datenerfassung!C27</f>
        <v>250 W HQL</v>
      </c>
      <c r="F5" s="11"/>
      <c r="G5" s="10"/>
      <c r="H5" s="30"/>
      <c r="I5" s="9"/>
      <c r="J5" s="9"/>
      <c r="K5" s="106">
        <f>Datenerfassung!C39</f>
        <v>2.5</v>
      </c>
      <c r="L5" s="11"/>
      <c r="M5" s="10"/>
      <c r="N5" s="106">
        <f>Datenerfassung!C39</f>
        <v>2.5</v>
      </c>
      <c r="O5" s="30" t="s">
        <v>18</v>
      </c>
      <c r="P5" s="30"/>
      <c r="Q5" s="11"/>
      <c r="R5" s="53">
        <f>T5*-1</f>
        <v>-5</v>
      </c>
      <c r="S5" s="11" t="s">
        <v>25</v>
      </c>
      <c r="T5" s="107">
        <f>Datenerfassung!C40</f>
        <v>5</v>
      </c>
      <c r="U5" s="11" t="s">
        <v>102</v>
      </c>
      <c r="V5" s="9"/>
      <c r="W5" s="9"/>
      <c r="X5" s="134">
        <f>Datenerfassung!C57</f>
        <v>0</v>
      </c>
    </row>
    <row r="6" spans="1:24" ht="12.75">
      <c r="A6" s="18"/>
      <c r="B6" s="18"/>
      <c r="C6" s="18"/>
      <c r="D6" s="18"/>
      <c r="F6" s="11"/>
      <c r="G6" s="39" t="s">
        <v>27</v>
      </c>
      <c r="H6" s="126" t="s">
        <v>12</v>
      </c>
      <c r="I6" s="13"/>
      <c r="J6" s="13"/>
      <c r="K6" s="31"/>
      <c r="L6" s="12"/>
      <c r="M6" s="14"/>
      <c r="N6" s="31"/>
      <c r="O6" s="30"/>
      <c r="P6" s="41"/>
      <c r="Q6" s="11"/>
      <c r="R6" s="10"/>
      <c r="S6" s="11"/>
      <c r="T6" s="10"/>
      <c r="U6" s="11" t="s">
        <v>103</v>
      </c>
      <c r="V6" s="9"/>
      <c r="W6" s="143">
        <f>Datenerfassung!C42</f>
        <v>8</v>
      </c>
      <c r="X6" s="142"/>
    </row>
    <row r="7" spans="1:24" ht="12.75">
      <c r="A7" s="18" t="s">
        <v>4</v>
      </c>
      <c r="B7" s="18"/>
      <c r="C7" s="102">
        <f>Datenerfassung!C20</f>
        <v>100</v>
      </c>
      <c r="D7" s="102">
        <f>Datenerfassung!C20</f>
        <v>100</v>
      </c>
      <c r="F7" s="8" t="s">
        <v>17</v>
      </c>
      <c r="G7" s="24"/>
      <c r="H7" s="127">
        <v>1</v>
      </c>
      <c r="I7" s="13"/>
      <c r="J7" s="13"/>
      <c r="K7" s="35">
        <f>C38</f>
        <v>7420.000000000001</v>
      </c>
      <c r="L7" s="12"/>
      <c r="M7" s="14"/>
      <c r="N7" s="31">
        <f>D38</f>
        <v>23517.55</v>
      </c>
      <c r="O7" s="51">
        <f aca="true" t="shared" si="0" ref="O7:O36">N7-K7</f>
        <v>16097.55</v>
      </c>
      <c r="P7" s="32">
        <f>O7</f>
        <v>16097.55</v>
      </c>
      <c r="Q7" s="12"/>
      <c r="R7" s="45">
        <f>G18*-1</f>
        <v>-92498</v>
      </c>
      <c r="S7" s="12"/>
      <c r="T7" s="49">
        <f>IF(R7&gt;0,(IF(T6&gt;0,T6+O7,(R7+O7+R6))),R7)</f>
        <v>-92498</v>
      </c>
      <c r="U7" s="12">
        <f>IF((Datenerfassung!$C$56)&gt;=H7,($G$15*(Datenerfassung!$C$57)/100),0)</f>
        <v>0</v>
      </c>
      <c r="V7" s="9">
        <f>U7</f>
        <v>0</v>
      </c>
      <c r="W7" s="141">
        <f>Datenerfassung!C$42/100*D$30</f>
        <v>1627.92</v>
      </c>
      <c r="X7" s="49">
        <f>IF(U7&gt;0,T7+V7+W7,T7+V7+W7)</f>
        <v>-90870.08</v>
      </c>
    </row>
    <row r="8" spans="1:24" ht="12.75">
      <c r="A8" s="18"/>
      <c r="B8" s="18"/>
      <c r="C8" s="18"/>
      <c r="D8" s="18"/>
      <c r="F8" s="83" t="s">
        <v>15</v>
      </c>
      <c r="G8" s="84">
        <f>C13</f>
        <v>932</v>
      </c>
      <c r="H8" s="127">
        <f>H7+1</f>
        <v>2</v>
      </c>
      <c r="I8" s="13">
        <f>C38</f>
        <v>7420.000000000001</v>
      </c>
      <c r="J8" s="13">
        <f>I8*K$5/100</f>
        <v>185.50000000000003</v>
      </c>
      <c r="K8" s="35">
        <f>I8+J8</f>
        <v>7605.500000000001</v>
      </c>
      <c r="L8" s="12">
        <f>D38</f>
        <v>23517.55</v>
      </c>
      <c r="M8" s="14">
        <f>L8*N$5/100</f>
        <v>587.93875</v>
      </c>
      <c r="N8" s="31">
        <f>L8+M8</f>
        <v>24105.48875</v>
      </c>
      <c r="O8" s="51">
        <f t="shared" si="0"/>
        <v>16499.98875</v>
      </c>
      <c r="P8" s="32">
        <f>P7+O8</f>
        <v>32597.53875</v>
      </c>
      <c r="Q8" s="12">
        <f>R7*R$5/100</f>
        <v>4624.9</v>
      </c>
      <c r="R8" s="45">
        <f>R7+O7-Q8</f>
        <v>-81025.34999999999</v>
      </c>
      <c r="S8" s="12">
        <f>IF(R8&lt;0,R7*R$5/100,O8)</f>
        <v>4624.9</v>
      </c>
      <c r="T8" s="49">
        <f aca="true" t="shared" si="1" ref="T8:T36">IF(R8&gt;0,(IF(T7&gt;0,T7+O8,(R8+O8+R7))),R8)</f>
        <v>-81025.34999999999</v>
      </c>
      <c r="U8" s="12">
        <f>IF((Datenerfassung!$C$56)&gt;=H8,($G$15*(Datenerfassung!$C$57)/100),0)</f>
        <v>0</v>
      </c>
      <c r="V8" s="9">
        <f>V7+U8</f>
        <v>0</v>
      </c>
      <c r="W8" s="141">
        <f>(Datenerfassung!C$42/100*(D$30+SUM(W7:W7)))</f>
        <v>1758.1535999999999</v>
      </c>
      <c r="X8" s="49">
        <f aca="true" t="shared" si="2" ref="X8:X36">IF(U8&gt;0,T8+V8+W8,T8+V8+W8)</f>
        <v>-79267.19639999999</v>
      </c>
    </row>
    <row r="9" spans="1:24" ht="12.75">
      <c r="A9" s="18" t="s">
        <v>26</v>
      </c>
      <c r="B9" s="18"/>
      <c r="C9" s="47">
        <f>Datenerfassung!C48</f>
        <v>100</v>
      </c>
      <c r="D9" s="79">
        <f>Datenerfassung!C28</f>
        <v>285</v>
      </c>
      <c r="F9" s="83" t="s">
        <v>16</v>
      </c>
      <c r="G9" s="84">
        <f>D13</f>
        <v>7.02</v>
      </c>
      <c r="H9" s="127">
        <f aca="true" t="shared" si="3" ref="H9:H36">H8+1</f>
        <v>3</v>
      </c>
      <c r="I9" s="13">
        <f>K8</f>
        <v>7605.500000000001</v>
      </c>
      <c r="J9" s="13">
        <f aca="true" t="shared" si="4" ref="J9:J36">I9*K$5/100</f>
        <v>190.13750000000005</v>
      </c>
      <c r="K9" s="35">
        <f aca="true" t="shared" si="5" ref="K9:K36">I9+J9</f>
        <v>7795.637500000001</v>
      </c>
      <c r="L9" s="12">
        <f>N8</f>
        <v>24105.48875</v>
      </c>
      <c r="M9" s="14">
        <f aca="true" t="shared" si="6" ref="M9:M36">L9*N$5/100</f>
        <v>602.63721875</v>
      </c>
      <c r="N9" s="31">
        <f aca="true" t="shared" si="7" ref="N9:N36">L9+M9</f>
        <v>24708.12596875</v>
      </c>
      <c r="O9" s="51">
        <f t="shared" si="0"/>
        <v>16912.488468749998</v>
      </c>
      <c r="P9" s="32">
        <f aca="true" t="shared" si="8" ref="P9:P36">P8+O9</f>
        <v>49510.027218749994</v>
      </c>
      <c r="Q9" s="12">
        <f aca="true" t="shared" si="9" ref="Q9:Q36">R8*R$5/100</f>
        <v>4051.2674999999995</v>
      </c>
      <c r="R9" s="45">
        <f>R8+O8-Q9</f>
        <v>-68576.62874999999</v>
      </c>
      <c r="S9" s="12">
        <f aca="true" t="shared" si="10" ref="S9:S36">IF(R9&lt;0,R8*R$5/100,O9)</f>
        <v>4051.2674999999995</v>
      </c>
      <c r="T9" s="49">
        <f t="shared" si="1"/>
        <v>-68576.62874999999</v>
      </c>
      <c r="U9" s="12">
        <f>IF((Datenerfassung!$C$56)&gt;=H9,($G$15*(Datenerfassung!$C$57)/100),0)</f>
        <v>0</v>
      </c>
      <c r="V9" s="9">
        <f aca="true" t="shared" si="11" ref="V9:V36">V8+U9</f>
        <v>0</v>
      </c>
      <c r="W9" s="141">
        <f>(Datenerfassung!C$42/100*(D$30+SUM(W7:W8)))</f>
        <v>1898.805888</v>
      </c>
      <c r="X9" s="49">
        <f t="shared" si="2"/>
        <v>-66677.82286199999</v>
      </c>
    </row>
    <row r="10" spans="1:24" ht="12.75">
      <c r="A10" s="18"/>
      <c r="B10" s="18"/>
      <c r="C10" s="18"/>
      <c r="D10" s="18"/>
      <c r="F10" s="83" t="s">
        <v>13</v>
      </c>
      <c r="G10" s="85">
        <f>G8-G9</f>
        <v>924.98</v>
      </c>
      <c r="H10" s="127">
        <f t="shared" si="3"/>
        <v>4</v>
      </c>
      <c r="I10" s="13">
        <f aca="true" t="shared" si="12" ref="I10:I36">K9</f>
        <v>7795.637500000001</v>
      </c>
      <c r="J10" s="13">
        <f t="shared" si="4"/>
        <v>194.8909375</v>
      </c>
      <c r="K10" s="35">
        <f t="shared" si="5"/>
        <v>7990.528437500001</v>
      </c>
      <c r="L10" s="12">
        <f aca="true" t="shared" si="13" ref="L10:L36">N9</f>
        <v>24708.12596875</v>
      </c>
      <c r="M10" s="14">
        <f t="shared" si="6"/>
        <v>617.70314921875</v>
      </c>
      <c r="N10" s="31">
        <f t="shared" si="7"/>
        <v>25325.829117968748</v>
      </c>
      <c r="O10" s="51">
        <f t="shared" si="0"/>
        <v>17335.300680468747</v>
      </c>
      <c r="P10" s="32">
        <f t="shared" si="8"/>
        <v>66845.32789921874</v>
      </c>
      <c r="Q10" s="12">
        <f t="shared" si="9"/>
        <v>3428.831437499999</v>
      </c>
      <c r="R10" s="45">
        <f aca="true" t="shared" si="14" ref="R10:R36">R9+O9-Q10</f>
        <v>-55092.971718749985</v>
      </c>
      <c r="S10" s="12">
        <f t="shared" si="10"/>
        <v>3428.831437499999</v>
      </c>
      <c r="T10" s="49">
        <f t="shared" si="1"/>
        <v>-55092.971718749985</v>
      </c>
      <c r="U10" s="12">
        <f>IF((Datenerfassung!$C$56)&gt;=H10,($G$15*(Datenerfassung!$C$57)/100),0)</f>
        <v>0</v>
      </c>
      <c r="V10" s="9">
        <f t="shared" si="11"/>
        <v>0</v>
      </c>
      <c r="W10" s="141">
        <f>(Datenerfassung!C$42/100*(D$30+SUM(W7:W9)))</f>
        <v>2050.7103590399997</v>
      </c>
      <c r="X10" s="49">
        <f t="shared" si="2"/>
        <v>-53042.261359709984</v>
      </c>
    </row>
    <row r="11" spans="1:24" ht="12.75">
      <c r="A11" s="18" t="s">
        <v>5</v>
      </c>
      <c r="B11" s="18"/>
      <c r="C11" s="103">
        <f>Datenerfassung!C21</f>
        <v>0.17</v>
      </c>
      <c r="D11" s="103">
        <f>Datenerfassung!C21</f>
        <v>0.17</v>
      </c>
      <c r="F11" s="25"/>
      <c r="G11" s="38"/>
      <c r="H11" s="127">
        <f t="shared" si="3"/>
        <v>5</v>
      </c>
      <c r="I11" s="13">
        <f t="shared" si="12"/>
        <v>7990.528437500001</v>
      </c>
      <c r="J11" s="13">
        <f t="shared" si="4"/>
        <v>199.76321093750005</v>
      </c>
      <c r="K11" s="35">
        <f t="shared" si="5"/>
        <v>8190.291648437501</v>
      </c>
      <c r="L11" s="12">
        <f t="shared" si="13"/>
        <v>25325.829117968748</v>
      </c>
      <c r="M11" s="14">
        <f t="shared" si="6"/>
        <v>633.1457279492187</v>
      </c>
      <c r="N11" s="31">
        <f t="shared" si="7"/>
        <v>25958.974845917965</v>
      </c>
      <c r="O11" s="51">
        <f t="shared" si="0"/>
        <v>17768.683197480463</v>
      </c>
      <c r="P11" s="32">
        <f t="shared" si="8"/>
        <v>84614.0110966992</v>
      </c>
      <c r="Q11" s="12">
        <f t="shared" si="9"/>
        <v>2754.6485859374993</v>
      </c>
      <c r="R11" s="45">
        <f t="shared" si="14"/>
        <v>-40512.31962421874</v>
      </c>
      <c r="S11" s="12">
        <f t="shared" si="10"/>
        <v>2754.6485859374993</v>
      </c>
      <c r="T11" s="49">
        <f t="shared" si="1"/>
        <v>-40512.31962421874</v>
      </c>
      <c r="U11" s="12">
        <f>IF((Datenerfassung!$C$56)&gt;=H11,($G$15*(Datenerfassung!$C$57)/100),0)</f>
        <v>0</v>
      </c>
      <c r="V11" s="9">
        <f t="shared" si="11"/>
        <v>0</v>
      </c>
      <c r="W11" s="141">
        <f>(Datenerfassung!C$42/100*(D$30+SUM(W7:W10)))</f>
        <v>2214.7671877632</v>
      </c>
      <c r="X11" s="49">
        <f t="shared" si="2"/>
        <v>-38297.55243645554</v>
      </c>
    </row>
    <row r="12" spans="1:24" ht="12.75">
      <c r="A12" s="18"/>
      <c r="B12" s="18"/>
      <c r="C12" s="18"/>
      <c r="D12" s="18"/>
      <c r="F12" s="25" t="s">
        <v>4</v>
      </c>
      <c r="G12" s="65">
        <f>D7</f>
        <v>100</v>
      </c>
      <c r="H12" s="127">
        <f t="shared" si="3"/>
        <v>6</v>
      </c>
      <c r="I12" s="13">
        <f t="shared" si="12"/>
        <v>8190.291648437501</v>
      </c>
      <c r="J12" s="13">
        <f t="shared" si="4"/>
        <v>204.75729121093752</v>
      </c>
      <c r="K12" s="35">
        <f t="shared" si="5"/>
        <v>8395.048939648439</v>
      </c>
      <c r="L12" s="12">
        <f t="shared" si="13"/>
        <v>25958.974845917965</v>
      </c>
      <c r="M12" s="14">
        <f t="shared" si="6"/>
        <v>648.9743711479491</v>
      </c>
      <c r="N12" s="31">
        <f t="shared" si="7"/>
        <v>26607.949217065914</v>
      </c>
      <c r="O12" s="51">
        <f t="shared" si="0"/>
        <v>18212.900277417473</v>
      </c>
      <c r="P12" s="32">
        <f t="shared" si="8"/>
        <v>102826.91137411668</v>
      </c>
      <c r="Q12" s="12">
        <f t="shared" si="9"/>
        <v>2025.615981210937</v>
      </c>
      <c r="R12" s="45">
        <f t="shared" si="14"/>
        <v>-24769.252407949214</v>
      </c>
      <c r="S12" s="12">
        <f t="shared" si="10"/>
        <v>2025.615981210937</v>
      </c>
      <c r="T12" s="49">
        <f t="shared" si="1"/>
        <v>-24769.252407949214</v>
      </c>
      <c r="U12" s="12">
        <f>IF((Datenerfassung!$C$56)&gt;=H12,($G$15*(Datenerfassung!$C$57)/100),0)</f>
        <v>0</v>
      </c>
      <c r="V12" s="9">
        <f t="shared" si="11"/>
        <v>0</v>
      </c>
      <c r="W12" s="141">
        <f>(Datenerfassung!C$42/100*(D$30+SUM(W7:W11)))</f>
        <v>2391.948562784256</v>
      </c>
      <c r="X12" s="49">
        <f t="shared" si="2"/>
        <v>-22377.30384516496</v>
      </c>
    </row>
    <row r="13" spans="1:24" ht="12.75">
      <c r="A13" s="18" t="s">
        <v>6</v>
      </c>
      <c r="B13" s="18"/>
      <c r="C13" s="48">
        <f>Datenerfassung!C49</f>
        <v>932</v>
      </c>
      <c r="D13" s="104">
        <f>Datenerfassung!C29</f>
        <v>7.02</v>
      </c>
      <c r="F13" s="8"/>
      <c r="G13" s="15"/>
      <c r="H13" s="127">
        <f t="shared" si="3"/>
        <v>7</v>
      </c>
      <c r="I13" s="13">
        <f t="shared" si="12"/>
        <v>8395.048939648439</v>
      </c>
      <c r="J13" s="13">
        <f t="shared" si="4"/>
        <v>209.876223491211</v>
      </c>
      <c r="K13" s="35">
        <f t="shared" si="5"/>
        <v>8604.92516313965</v>
      </c>
      <c r="L13" s="12">
        <f t="shared" si="13"/>
        <v>26607.949217065914</v>
      </c>
      <c r="M13" s="14">
        <f t="shared" si="6"/>
        <v>665.1987304266478</v>
      </c>
      <c r="N13" s="31">
        <f t="shared" si="7"/>
        <v>27273.14794749256</v>
      </c>
      <c r="O13" s="51">
        <f t="shared" si="0"/>
        <v>18668.22278435291</v>
      </c>
      <c r="P13" s="32">
        <f t="shared" si="8"/>
        <v>121495.13415846959</v>
      </c>
      <c r="Q13" s="12">
        <f t="shared" si="9"/>
        <v>1238.4626203974608</v>
      </c>
      <c r="R13" s="45">
        <f t="shared" si="14"/>
        <v>-7794.814750929201</v>
      </c>
      <c r="S13" s="12">
        <f t="shared" si="10"/>
        <v>1238.4626203974608</v>
      </c>
      <c r="T13" s="49">
        <f t="shared" si="1"/>
        <v>-7794.814750929201</v>
      </c>
      <c r="U13" s="12">
        <f>IF((Datenerfassung!$C$56)&gt;=H13,($G$15*(Datenerfassung!$C$57)/100),0)</f>
        <v>0</v>
      </c>
      <c r="V13" s="9">
        <f t="shared" si="11"/>
        <v>0</v>
      </c>
      <c r="W13" s="141">
        <f>(Datenerfassung!C$42/100*(D$30+SUM(W7:W12)))</f>
        <v>2583.3044478069964</v>
      </c>
      <c r="X13" s="49">
        <f t="shared" si="2"/>
        <v>-5211.510303122204</v>
      </c>
    </row>
    <row r="14" spans="1:24" ht="12.75">
      <c r="A14" s="18"/>
      <c r="B14" s="18"/>
      <c r="C14" s="18"/>
      <c r="D14" s="18"/>
      <c r="F14" s="8"/>
      <c r="G14" s="15"/>
      <c r="H14" s="127">
        <f t="shared" si="3"/>
        <v>8</v>
      </c>
      <c r="I14" s="13">
        <f t="shared" si="12"/>
        <v>8604.92516313965</v>
      </c>
      <c r="J14" s="13">
        <f t="shared" si="4"/>
        <v>215.12312907849122</v>
      </c>
      <c r="K14" s="35">
        <f t="shared" si="5"/>
        <v>8820.04829221814</v>
      </c>
      <c r="L14" s="12">
        <f t="shared" si="13"/>
        <v>27273.14794749256</v>
      </c>
      <c r="M14" s="14">
        <f t="shared" si="6"/>
        <v>681.828698687314</v>
      </c>
      <c r="N14" s="31">
        <f t="shared" si="7"/>
        <v>27954.976646179875</v>
      </c>
      <c r="O14" s="51">
        <f t="shared" si="0"/>
        <v>19134.928353961735</v>
      </c>
      <c r="P14" s="32">
        <f t="shared" si="8"/>
        <v>140630.06251243132</v>
      </c>
      <c r="Q14" s="12">
        <f t="shared" si="9"/>
        <v>389.7407375464601</v>
      </c>
      <c r="R14" s="45">
        <f t="shared" si="14"/>
        <v>10483.667295877249</v>
      </c>
      <c r="S14" s="12">
        <f t="shared" si="10"/>
        <v>19134.928353961735</v>
      </c>
      <c r="T14" s="49">
        <f t="shared" si="1"/>
        <v>21823.780898909783</v>
      </c>
      <c r="U14" s="12">
        <f>IF((Datenerfassung!$C$56)&gt;=H14,($G$15*(Datenerfassung!$C$57)/100),0)</f>
        <v>0</v>
      </c>
      <c r="V14" s="9">
        <f t="shared" si="11"/>
        <v>0</v>
      </c>
      <c r="W14" s="141">
        <f>(Datenerfassung!C$42/100*(D$30+SUM(W7:W13)))</f>
        <v>2789.968803631556</v>
      </c>
      <c r="X14" s="49">
        <f t="shared" si="2"/>
        <v>24613.74970254134</v>
      </c>
    </row>
    <row r="15" spans="1:24" ht="12.75">
      <c r="A15" s="18" t="s">
        <v>7</v>
      </c>
      <c r="B15" s="18"/>
      <c r="C15" s="102">
        <f>Datenerfassung!C22</f>
        <v>4200</v>
      </c>
      <c r="D15" s="102">
        <f>Datenerfassung!C22</f>
        <v>4200</v>
      </c>
      <c r="F15" s="86" t="s">
        <v>20</v>
      </c>
      <c r="G15" s="87">
        <f>G8*G12</f>
        <v>93200</v>
      </c>
      <c r="H15" s="127">
        <f t="shared" si="3"/>
        <v>9</v>
      </c>
      <c r="I15" s="13">
        <f t="shared" si="12"/>
        <v>8820.04829221814</v>
      </c>
      <c r="J15" s="13">
        <f t="shared" si="4"/>
        <v>220.5012073054535</v>
      </c>
      <c r="K15" s="35">
        <f t="shared" si="5"/>
        <v>9040.549499523593</v>
      </c>
      <c r="L15" s="12">
        <f t="shared" si="13"/>
        <v>27954.976646179875</v>
      </c>
      <c r="M15" s="14">
        <f t="shared" si="6"/>
        <v>698.8744161544969</v>
      </c>
      <c r="N15" s="31">
        <f t="shared" si="7"/>
        <v>28653.85106233437</v>
      </c>
      <c r="O15" s="51">
        <f t="shared" si="0"/>
        <v>19613.30156281078</v>
      </c>
      <c r="P15" s="32">
        <f t="shared" si="8"/>
        <v>160243.3640752421</v>
      </c>
      <c r="Q15" s="12">
        <f t="shared" si="9"/>
        <v>-524.1833647938624</v>
      </c>
      <c r="R15" s="45">
        <f t="shared" si="14"/>
        <v>30142.779014632848</v>
      </c>
      <c r="S15" s="12">
        <f t="shared" si="10"/>
        <v>19613.30156281078</v>
      </c>
      <c r="T15" s="49">
        <f t="shared" si="1"/>
        <v>41437.082461720565</v>
      </c>
      <c r="U15" s="12">
        <f>IF((Datenerfassung!$C$56)&gt;=H15,($G$15*(Datenerfassung!$C$57)/100),0)</f>
        <v>0</v>
      </c>
      <c r="V15" s="9">
        <f t="shared" si="11"/>
        <v>0</v>
      </c>
      <c r="W15" s="141">
        <f>(Datenerfassung!C$42/100*(D$30+SUM(W7:W14)))</f>
        <v>3013.1663079220807</v>
      </c>
      <c r="X15" s="49">
        <f t="shared" si="2"/>
        <v>44450.24876964265</v>
      </c>
    </row>
    <row r="16" spans="1:24" ht="12.75">
      <c r="A16" s="18"/>
      <c r="B16" s="18"/>
      <c r="C16" s="18"/>
      <c r="D16" s="18"/>
      <c r="F16" s="86" t="s">
        <v>82</v>
      </c>
      <c r="G16" s="87">
        <f>G9*G12</f>
        <v>702</v>
      </c>
      <c r="H16" s="127">
        <f t="shared" si="3"/>
        <v>10</v>
      </c>
      <c r="I16" s="13">
        <f t="shared" si="12"/>
        <v>9040.549499523593</v>
      </c>
      <c r="J16" s="13">
        <f t="shared" si="4"/>
        <v>226.01373748808982</v>
      </c>
      <c r="K16" s="35">
        <f t="shared" si="5"/>
        <v>9266.563237011684</v>
      </c>
      <c r="L16" s="12">
        <f t="shared" si="13"/>
        <v>28653.85106233437</v>
      </c>
      <c r="M16" s="14">
        <f t="shared" si="6"/>
        <v>716.3462765583592</v>
      </c>
      <c r="N16" s="31">
        <f t="shared" si="7"/>
        <v>29370.197338892733</v>
      </c>
      <c r="O16" s="51">
        <f t="shared" si="0"/>
        <v>20103.63410188105</v>
      </c>
      <c r="P16" s="32">
        <f t="shared" si="8"/>
        <v>180346.99817712314</v>
      </c>
      <c r="Q16" s="12">
        <f t="shared" si="9"/>
        <v>-1507.1389507316426</v>
      </c>
      <c r="R16" s="45">
        <f t="shared" si="14"/>
        <v>51263.21952817527</v>
      </c>
      <c r="S16" s="12">
        <f t="shared" si="10"/>
        <v>20103.63410188105</v>
      </c>
      <c r="T16" s="49">
        <f t="shared" si="1"/>
        <v>61540.716563601614</v>
      </c>
      <c r="U16" s="12">
        <f>IF((Datenerfassung!$C$56)&gt;=H16,($G$15*(Datenerfassung!$C$57)/100),0)</f>
        <v>0</v>
      </c>
      <c r="V16" s="9">
        <f t="shared" si="11"/>
        <v>0</v>
      </c>
      <c r="W16" s="141">
        <f>(Datenerfassung!C$42/100*(D$30+SUM(W7:W15)))</f>
        <v>3254.2196125558476</v>
      </c>
      <c r="X16" s="49">
        <f t="shared" si="2"/>
        <v>64794.93617615746</v>
      </c>
    </row>
    <row r="17" spans="1:24" ht="12.75">
      <c r="A17" s="18" t="s">
        <v>8</v>
      </c>
      <c r="B17" s="18"/>
      <c r="C17" s="90">
        <v>100000</v>
      </c>
      <c r="D17" s="79">
        <f>Datenerfassung!C30</f>
        <v>8000</v>
      </c>
      <c r="F17" s="86"/>
      <c r="G17" s="87"/>
      <c r="H17" s="127">
        <f t="shared" si="3"/>
        <v>11</v>
      </c>
      <c r="I17" s="13">
        <f t="shared" si="12"/>
        <v>9266.563237011684</v>
      </c>
      <c r="J17" s="13">
        <f t="shared" si="4"/>
        <v>231.66408092529207</v>
      </c>
      <c r="K17" s="35">
        <f t="shared" si="5"/>
        <v>9498.227317936975</v>
      </c>
      <c r="L17" s="12">
        <f t="shared" si="13"/>
        <v>29370.197338892733</v>
      </c>
      <c r="M17" s="14">
        <f t="shared" si="6"/>
        <v>734.2549334723184</v>
      </c>
      <c r="N17" s="31">
        <f t="shared" si="7"/>
        <v>30104.45227236505</v>
      </c>
      <c r="O17" s="51">
        <f t="shared" si="0"/>
        <v>20606.22495442808</v>
      </c>
      <c r="P17" s="32">
        <f t="shared" si="8"/>
        <v>200953.22313155123</v>
      </c>
      <c r="Q17" s="12">
        <f t="shared" si="9"/>
        <v>-2563.160976408764</v>
      </c>
      <c r="R17" s="45">
        <f t="shared" si="14"/>
        <v>73930.01460646508</v>
      </c>
      <c r="S17" s="12">
        <f t="shared" si="10"/>
        <v>20606.22495442808</v>
      </c>
      <c r="T17" s="49">
        <f t="shared" si="1"/>
        <v>82146.9415180297</v>
      </c>
      <c r="U17" s="12">
        <f>IF((Datenerfassung!$C$56)&gt;=H17,($G$15*(Datenerfassung!$C$57)/100),0)</f>
        <v>0</v>
      </c>
      <c r="V17" s="9">
        <f t="shared" si="11"/>
        <v>0</v>
      </c>
      <c r="W17" s="141">
        <f>(Datenerfassung!C$42/100*(D$30+SUM(W7:W16)))</f>
        <v>3514.5571815603153</v>
      </c>
      <c r="X17" s="49">
        <f t="shared" si="2"/>
        <v>85661.49869959001</v>
      </c>
    </row>
    <row r="18" spans="1:24" ht="12.75">
      <c r="A18" s="18"/>
      <c r="B18" s="18"/>
      <c r="C18" s="19"/>
      <c r="D18" s="19"/>
      <c r="F18" s="88" t="s">
        <v>21</v>
      </c>
      <c r="G18" s="89">
        <f>G15-G16</f>
        <v>92498</v>
      </c>
      <c r="H18" s="127">
        <f t="shared" si="3"/>
        <v>12</v>
      </c>
      <c r="I18" s="13">
        <f t="shared" si="12"/>
        <v>9498.227317936975</v>
      </c>
      <c r="J18" s="13">
        <f t="shared" si="4"/>
        <v>237.45568294842437</v>
      </c>
      <c r="K18" s="35">
        <f t="shared" si="5"/>
        <v>9735.6830008854</v>
      </c>
      <c r="L18" s="12">
        <f t="shared" si="13"/>
        <v>30104.45227236505</v>
      </c>
      <c r="M18" s="14">
        <f t="shared" si="6"/>
        <v>752.6113068091263</v>
      </c>
      <c r="N18" s="31">
        <f t="shared" si="7"/>
        <v>30857.063579174177</v>
      </c>
      <c r="O18" s="51">
        <f t="shared" si="0"/>
        <v>21121.38057828878</v>
      </c>
      <c r="P18" s="32">
        <f t="shared" si="8"/>
        <v>222074.60370984</v>
      </c>
      <c r="Q18" s="12">
        <f t="shared" si="9"/>
        <v>-3696.5007303232537</v>
      </c>
      <c r="R18" s="45">
        <f t="shared" si="14"/>
        <v>98232.74029121641</v>
      </c>
      <c r="S18" s="12">
        <f t="shared" si="10"/>
        <v>21121.38057828878</v>
      </c>
      <c r="T18" s="49">
        <f t="shared" si="1"/>
        <v>103268.32209631847</v>
      </c>
      <c r="U18" s="12">
        <f>IF((Datenerfassung!$C$56)&gt;=H18,($G$15*(Datenerfassung!$C$57)/100),0)</f>
        <v>0</v>
      </c>
      <c r="V18" s="9">
        <f t="shared" si="11"/>
        <v>0</v>
      </c>
      <c r="W18" s="141">
        <f>(Datenerfassung!C$42/100*(D$30+SUM(W7:W17)))</f>
        <v>3795.72175608514</v>
      </c>
      <c r="X18" s="49">
        <f t="shared" si="2"/>
        <v>107064.04385240361</v>
      </c>
    </row>
    <row r="19" spans="1:24" ht="12.75">
      <c r="A19" s="18" t="s">
        <v>83</v>
      </c>
      <c r="B19" s="18"/>
      <c r="C19" s="82">
        <v>0</v>
      </c>
      <c r="D19" s="115">
        <f>Datenerfassung!C31</f>
        <v>0</v>
      </c>
      <c r="E19" s="4"/>
      <c r="F19" s="26"/>
      <c r="G19" s="10"/>
      <c r="H19" s="127">
        <f t="shared" si="3"/>
        <v>13</v>
      </c>
      <c r="I19" s="13">
        <f t="shared" si="12"/>
        <v>9735.6830008854</v>
      </c>
      <c r="J19" s="13">
        <f t="shared" si="4"/>
        <v>243.392075022135</v>
      </c>
      <c r="K19" s="35">
        <f t="shared" si="5"/>
        <v>9979.075075907534</v>
      </c>
      <c r="L19" s="12">
        <f t="shared" si="13"/>
        <v>30857.063579174177</v>
      </c>
      <c r="M19" s="14">
        <f t="shared" si="6"/>
        <v>771.4265894793544</v>
      </c>
      <c r="N19" s="31">
        <f t="shared" si="7"/>
        <v>31628.49016865353</v>
      </c>
      <c r="O19" s="51">
        <f t="shared" si="0"/>
        <v>21649.415092745996</v>
      </c>
      <c r="P19" s="32">
        <f t="shared" si="8"/>
        <v>243724.018802586</v>
      </c>
      <c r="Q19" s="12">
        <f t="shared" si="9"/>
        <v>-4911.637014560821</v>
      </c>
      <c r="R19" s="14">
        <f t="shared" si="14"/>
        <v>124265.75788406601</v>
      </c>
      <c r="S19" s="110">
        <f t="shared" si="10"/>
        <v>21649.415092745996</v>
      </c>
      <c r="T19" s="49">
        <f t="shared" si="1"/>
        <v>124917.73718906447</v>
      </c>
      <c r="U19" s="12">
        <f>IF((Datenerfassung!$C$56)&gt;=H19,($G$15*(Datenerfassung!$C$57)/100),0)</f>
        <v>0</v>
      </c>
      <c r="V19" s="9">
        <f t="shared" si="11"/>
        <v>0</v>
      </c>
      <c r="W19" s="141">
        <f>(Datenerfassung!C$42/100*(D$30+SUM(W7:W18)))</f>
        <v>4099.379496571952</v>
      </c>
      <c r="X19" s="49">
        <f t="shared" si="2"/>
        <v>129017.11668563643</v>
      </c>
    </row>
    <row r="20" spans="1:24" ht="12.75">
      <c r="A20" s="18"/>
      <c r="B20" s="18"/>
      <c r="C20" s="18"/>
      <c r="D20" s="18"/>
      <c r="F20" s="11"/>
      <c r="G20" s="10"/>
      <c r="H20" s="127">
        <f t="shared" si="3"/>
        <v>14</v>
      </c>
      <c r="I20" s="13">
        <f t="shared" si="12"/>
        <v>9979.075075907534</v>
      </c>
      <c r="J20" s="13">
        <f t="shared" si="4"/>
        <v>249.47687689768836</v>
      </c>
      <c r="K20" s="35">
        <f t="shared" si="5"/>
        <v>10228.551952805223</v>
      </c>
      <c r="L20" s="12">
        <f t="shared" si="13"/>
        <v>31628.49016865353</v>
      </c>
      <c r="M20" s="14">
        <f t="shared" si="6"/>
        <v>790.7122542163384</v>
      </c>
      <c r="N20" s="31">
        <f t="shared" si="7"/>
        <v>32419.20242286987</v>
      </c>
      <c r="O20" s="51">
        <f t="shared" si="0"/>
        <v>22190.650470064647</v>
      </c>
      <c r="P20" s="32">
        <f t="shared" si="8"/>
        <v>265914.6692726507</v>
      </c>
      <c r="Q20" s="12">
        <f t="shared" si="9"/>
        <v>-6213.287894203301</v>
      </c>
      <c r="R20" s="14">
        <f>R19+O19-Q20</f>
        <v>152128.4608710153</v>
      </c>
      <c r="S20" s="110">
        <f t="shared" si="10"/>
        <v>22190.650470064647</v>
      </c>
      <c r="T20" s="49">
        <f t="shared" si="1"/>
        <v>147108.3876591291</v>
      </c>
      <c r="U20" s="12">
        <f>IF((Datenerfassung!$C$56)&gt;=H20,($G$15*(Datenerfassung!$C$57)/100),0)</f>
        <v>0</v>
      </c>
      <c r="V20" s="9">
        <f t="shared" si="11"/>
        <v>0</v>
      </c>
      <c r="W20" s="141">
        <f>(Datenerfassung!C$42/100*(D$30+SUM(W7:W19)))</f>
        <v>4427.329856297707</v>
      </c>
      <c r="X20" s="49">
        <f t="shared" si="2"/>
        <v>151535.7175154268</v>
      </c>
    </row>
    <row r="21" spans="1:24" ht="12.75">
      <c r="A21" s="18" t="s">
        <v>9</v>
      </c>
      <c r="B21" s="18"/>
      <c r="C21" s="116">
        <f>Datenerfassung!C32</f>
        <v>0</v>
      </c>
      <c r="D21" s="116">
        <f>Datenerfassung!C32</f>
        <v>0</v>
      </c>
      <c r="E21" s="1"/>
      <c r="F21" s="11"/>
      <c r="G21" s="10"/>
      <c r="H21" s="127">
        <f t="shared" si="3"/>
        <v>15</v>
      </c>
      <c r="I21" s="13">
        <f t="shared" si="12"/>
        <v>10228.551952805223</v>
      </c>
      <c r="J21" s="13">
        <f t="shared" si="4"/>
        <v>255.7137988201306</v>
      </c>
      <c r="K21" s="35">
        <f t="shared" si="5"/>
        <v>10484.265751625353</v>
      </c>
      <c r="L21" s="12">
        <f t="shared" si="13"/>
        <v>32419.20242286987</v>
      </c>
      <c r="M21" s="14">
        <f t="shared" si="6"/>
        <v>810.4800605717468</v>
      </c>
      <c r="N21" s="31">
        <f t="shared" si="7"/>
        <v>33229.68248344162</v>
      </c>
      <c r="O21" s="51">
        <f t="shared" si="0"/>
        <v>22745.416731816265</v>
      </c>
      <c r="P21" s="32">
        <f t="shared" si="8"/>
        <v>288660.0860044669</v>
      </c>
      <c r="Q21" s="12">
        <f t="shared" si="9"/>
        <v>-7606.423043550765</v>
      </c>
      <c r="R21" s="14">
        <f t="shared" si="14"/>
        <v>181925.5343846307</v>
      </c>
      <c r="S21" s="110">
        <f t="shared" si="10"/>
        <v>22745.416731816265</v>
      </c>
      <c r="T21" s="49">
        <f t="shared" si="1"/>
        <v>169853.80439094536</v>
      </c>
      <c r="U21" s="12">
        <f>IF((Datenerfassung!$C$56)&gt;=H21,($G$15*(Datenerfassung!$C$57)/100),0)</f>
        <v>0</v>
      </c>
      <c r="V21" s="9">
        <f t="shared" si="11"/>
        <v>0</v>
      </c>
      <c r="W21" s="141">
        <f>(Datenerfassung!C$42/100*(D$30+SUM(W7:W20)))</f>
        <v>4781.516244801524</v>
      </c>
      <c r="X21" s="49">
        <f t="shared" si="2"/>
        <v>174635.32063574687</v>
      </c>
    </row>
    <row r="22" spans="1:24" ht="12.75">
      <c r="A22" s="18"/>
      <c r="B22" s="18"/>
      <c r="C22" s="20"/>
      <c r="D22" s="20"/>
      <c r="E22" s="1"/>
      <c r="F22" s="11"/>
      <c r="G22" s="10"/>
      <c r="H22" s="127">
        <f t="shared" si="3"/>
        <v>16</v>
      </c>
      <c r="I22" s="13">
        <f t="shared" si="12"/>
        <v>10484.265751625353</v>
      </c>
      <c r="J22" s="13">
        <f t="shared" si="4"/>
        <v>262.1066437906338</v>
      </c>
      <c r="K22" s="35">
        <f t="shared" si="5"/>
        <v>10746.372395415987</v>
      </c>
      <c r="L22" s="12">
        <f t="shared" si="13"/>
        <v>33229.68248344162</v>
      </c>
      <c r="M22" s="14">
        <f t="shared" si="6"/>
        <v>830.7420620860404</v>
      </c>
      <c r="N22" s="31">
        <f t="shared" si="7"/>
        <v>34060.42454552766</v>
      </c>
      <c r="O22" s="51">
        <f t="shared" si="0"/>
        <v>23314.052150111675</v>
      </c>
      <c r="P22" s="32">
        <f t="shared" si="8"/>
        <v>311974.1381545786</v>
      </c>
      <c r="Q22" s="12">
        <f t="shared" si="9"/>
        <v>-9096.276719231535</v>
      </c>
      <c r="R22" s="14">
        <f t="shared" si="14"/>
        <v>213767.22783567852</v>
      </c>
      <c r="S22" s="110">
        <f t="shared" si="10"/>
        <v>23314.052150111675</v>
      </c>
      <c r="T22" s="49">
        <f t="shared" si="1"/>
        <v>193167.85654105703</v>
      </c>
      <c r="U22" s="12">
        <f>IF((Datenerfassung!$C$56)&gt;=H22,($G$15*(Datenerfassung!$C$57)/100),0)</f>
        <v>0</v>
      </c>
      <c r="V22" s="9">
        <f t="shared" si="11"/>
        <v>0</v>
      </c>
      <c r="W22" s="141">
        <f>(Datenerfassung!C$42/100*(D$30+SUM(W7:W21)))</f>
        <v>5164.037544385646</v>
      </c>
      <c r="X22" s="49">
        <f t="shared" si="2"/>
        <v>198331.89408544268</v>
      </c>
    </row>
    <row r="23" spans="1:24" ht="12.75">
      <c r="A23" s="18" t="s">
        <v>10</v>
      </c>
      <c r="B23" s="18"/>
      <c r="C23" s="116">
        <f>Datenerfassung!C33</f>
        <v>0</v>
      </c>
      <c r="D23" s="116">
        <f>Datenerfassung!C33</f>
        <v>0</v>
      </c>
      <c r="E23" s="1"/>
      <c r="F23" s="11"/>
      <c r="G23" s="10"/>
      <c r="H23" s="127">
        <f t="shared" si="3"/>
        <v>17</v>
      </c>
      <c r="I23" s="13">
        <f t="shared" si="12"/>
        <v>10746.372395415987</v>
      </c>
      <c r="J23" s="13">
        <f t="shared" si="4"/>
        <v>268.6593098853997</v>
      </c>
      <c r="K23" s="35">
        <f t="shared" si="5"/>
        <v>11015.031705301386</v>
      </c>
      <c r="L23" s="12">
        <f t="shared" si="13"/>
        <v>34060.42454552766</v>
      </c>
      <c r="M23" s="14">
        <f t="shared" si="6"/>
        <v>851.5106136381916</v>
      </c>
      <c r="N23" s="31">
        <f t="shared" si="7"/>
        <v>34911.935159165856</v>
      </c>
      <c r="O23" s="51">
        <f t="shared" si="0"/>
        <v>23896.90345386447</v>
      </c>
      <c r="P23" s="32">
        <f t="shared" si="8"/>
        <v>335871.0416084431</v>
      </c>
      <c r="Q23" s="12">
        <f t="shared" si="9"/>
        <v>-10688.361391783927</v>
      </c>
      <c r="R23" s="14">
        <f t="shared" si="14"/>
        <v>247769.64137757412</v>
      </c>
      <c r="S23" s="110">
        <f t="shared" si="10"/>
        <v>23896.90345386447</v>
      </c>
      <c r="T23" s="49">
        <f t="shared" si="1"/>
        <v>217064.7599949215</v>
      </c>
      <c r="U23" s="12">
        <f>IF((Datenerfassung!$C$56)&gt;=H23,($G$15*(Datenerfassung!$C$57)/100),0)</f>
        <v>0</v>
      </c>
      <c r="V23" s="9">
        <f t="shared" si="11"/>
        <v>0</v>
      </c>
      <c r="W23" s="141">
        <f>(Datenerfassung!C$42/100*(D$30+SUM(W7:W22)))</f>
        <v>5577.160547936498</v>
      </c>
      <c r="X23" s="49">
        <f t="shared" si="2"/>
        <v>222641.92054285802</v>
      </c>
    </row>
    <row r="24" spans="1:24" ht="12.75">
      <c r="A24" s="18"/>
      <c r="B24" s="18"/>
      <c r="C24" s="18"/>
      <c r="D24" s="18"/>
      <c r="F24" s="11"/>
      <c r="G24" s="10"/>
      <c r="H24" s="127">
        <f t="shared" si="3"/>
        <v>18</v>
      </c>
      <c r="I24" s="13">
        <f t="shared" si="12"/>
        <v>11015.031705301386</v>
      </c>
      <c r="J24" s="13">
        <f t="shared" si="4"/>
        <v>275.3757926325346</v>
      </c>
      <c r="K24" s="35">
        <f t="shared" si="5"/>
        <v>11290.40749793392</v>
      </c>
      <c r="L24" s="12">
        <f t="shared" si="13"/>
        <v>34911.935159165856</v>
      </c>
      <c r="M24" s="14">
        <f t="shared" si="6"/>
        <v>872.7983789791464</v>
      </c>
      <c r="N24" s="31">
        <f t="shared" si="7"/>
        <v>35784.733538145</v>
      </c>
      <c r="O24" s="51">
        <f t="shared" si="0"/>
        <v>24494.326040211083</v>
      </c>
      <c r="P24" s="32">
        <f t="shared" si="8"/>
        <v>360365.36764865415</v>
      </c>
      <c r="Q24" s="12">
        <f t="shared" si="9"/>
        <v>-12388.482068878706</v>
      </c>
      <c r="R24" s="14">
        <f t="shared" si="14"/>
        <v>284055.0269003173</v>
      </c>
      <c r="S24" s="110">
        <f t="shared" si="10"/>
        <v>24494.326040211083</v>
      </c>
      <c r="T24" s="49">
        <f t="shared" si="1"/>
        <v>241559.08603513258</v>
      </c>
      <c r="U24" s="12">
        <f>IF((Datenerfassung!$C$56)&gt;=H24,($G$15*(Datenerfassung!$C$57)/100),0)</f>
        <v>0</v>
      </c>
      <c r="V24" s="9">
        <f t="shared" si="11"/>
        <v>0</v>
      </c>
      <c r="W24" s="141">
        <f>(Datenerfassung!C$42/100*(D$30+SUM(W7:W23)))</f>
        <v>6023.333391771417</v>
      </c>
      <c r="X24" s="49">
        <f t="shared" si="2"/>
        <v>247582.419426904</v>
      </c>
    </row>
    <row r="25" spans="1:24" ht="12.75">
      <c r="A25" s="18" t="s">
        <v>11</v>
      </c>
      <c r="B25" s="18"/>
      <c r="C25" s="18">
        <v>0.6</v>
      </c>
      <c r="D25" s="18">
        <v>0.6</v>
      </c>
      <c r="F25" s="11"/>
      <c r="G25" s="10"/>
      <c r="H25" s="127">
        <f t="shared" si="3"/>
        <v>19</v>
      </c>
      <c r="I25" s="13">
        <f t="shared" si="12"/>
        <v>11290.40749793392</v>
      </c>
      <c r="J25" s="13">
        <f t="shared" si="4"/>
        <v>282.260187448348</v>
      </c>
      <c r="K25" s="35">
        <f t="shared" si="5"/>
        <v>11572.667685382268</v>
      </c>
      <c r="L25" s="12">
        <f t="shared" si="13"/>
        <v>35784.733538145</v>
      </c>
      <c r="M25" s="14">
        <f t="shared" si="6"/>
        <v>894.618338453625</v>
      </c>
      <c r="N25" s="31">
        <f t="shared" si="7"/>
        <v>36679.35187659863</v>
      </c>
      <c r="O25" s="51">
        <f t="shared" si="0"/>
        <v>25106.68419121636</v>
      </c>
      <c r="P25" s="32">
        <f t="shared" si="8"/>
        <v>385472.0518398705</v>
      </c>
      <c r="Q25" s="12">
        <f t="shared" si="9"/>
        <v>-14202.751345015864</v>
      </c>
      <c r="R25" s="14">
        <f t="shared" si="14"/>
        <v>322752.10428554425</v>
      </c>
      <c r="S25" s="110">
        <f t="shared" si="10"/>
        <v>25106.68419121636</v>
      </c>
      <c r="T25" s="49">
        <f t="shared" si="1"/>
        <v>266665.77022634895</v>
      </c>
      <c r="U25" s="12">
        <f>IF((Datenerfassung!$C$56)&gt;=H25,($G$15*(Datenerfassung!$C$57)/100),0)</f>
        <v>0</v>
      </c>
      <c r="V25" s="9">
        <f t="shared" si="11"/>
        <v>0</v>
      </c>
      <c r="W25" s="141">
        <f>(Datenerfassung!C$42/100*(D$30+SUM(W7:W24)))</f>
        <v>6505.20006311313</v>
      </c>
      <c r="X25" s="49">
        <f t="shared" si="2"/>
        <v>273170.9702894621</v>
      </c>
    </row>
    <row r="26" spans="1:24" ht="12.75">
      <c r="A26" s="18"/>
      <c r="B26" s="18"/>
      <c r="C26" s="18"/>
      <c r="D26" s="18"/>
      <c r="F26" s="11"/>
      <c r="G26" s="10"/>
      <c r="H26" s="127">
        <f t="shared" si="3"/>
        <v>20</v>
      </c>
      <c r="I26" s="13">
        <f t="shared" si="12"/>
        <v>11572.667685382268</v>
      </c>
      <c r="J26" s="13">
        <f t="shared" si="4"/>
        <v>289.3166921345567</v>
      </c>
      <c r="K26" s="35">
        <f t="shared" si="5"/>
        <v>11861.984377516825</v>
      </c>
      <c r="L26" s="12">
        <f t="shared" si="13"/>
        <v>36679.35187659863</v>
      </c>
      <c r="M26" s="14">
        <f t="shared" si="6"/>
        <v>916.9837969149658</v>
      </c>
      <c r="N26" s="31">
        <f t="shared" si="7"/>
        <v>37596.3356735136</v>
      </c>
      <c r="O26" s="51">
        <f t="shared" si="0"/>
        <v>25734.35129599677</v>
      </c>
      <c r="P26" s="32">
        <f t="shared" si="8"/>
        <v>411206.40313586727</v>
      </c>
      <c r="Q26" s="12">
        <f t="shared" si="9"/>
        <v>-16137.605214277213</v>
      </c>
      <c r="R26" s="14">
        <f t="shared" si="14"/>
        <v>363996.39369103784</v>
      </c>
      <c r="S26" s="110">
        <f t="shared" si="10"/>
        <v>25734.35129599677</v>
      </c>
      <c r="T26" s="49">
        <f t="shared" si="1"/>
        <v>292400.1215223457</v>
      </c>
      <c r="U26" s="12">
        <f>IF((Datenerfassung!$C$56)&gt;=H26,($G$15*(Datenerfassung!$C$57)/100),0)</f>
        <v>0</v>
      </c>
      <c r="V26" s="9">
        <f t="shared" si="11"/>
        <v>0</v>
      </c>
      <c r="W26" s="141">
        <f>(Datenerfassung!C$42/100*(D$30+SUM(W7:W25)))</f>
        <v>7025.616068162181</v>
      </c>
      <c r="X26" s="49">
        <f t="shared" si="2"/>
        <v>299425.7375905079</v>
      </c>
    </row>
    <row r="27" spans="1:24" ht="15.75">
      <c r="A27" s="37" t="s">
        <v>28</v>
      </c>
      <c r="B27" s="18"/>
      <c r="C27" s="18"/>
      <c r="D27" s="18"/>
      <c r="F27" s="11"/>
      <c r="G27" s="10"/>
      <c r="H27" s="127">
        <f t="shared" si="3"/>
        <v>21</v>
      </c>
      <c r="I27" s="13">
        <f t="shared" si="12"/>
        <v>11861.984377516825</v>
      </c>
      <c r="J27" s="13">
        <f t="shared" si="4"/>
        <v>296.54960943792065</v>
      </c>
      <c r="K27" s="35">
        <f t="shared" si="5"/>
        <v>12158.533986954746</v>
      </c>
      <c r="L27" s="12">
        <f t="shared" si="13"/>
        <v>37596.3356735136</v>
      </c>
      <c r="M27" s="14">
        <f t="shared" si="6"/>
        <v>939.9083918378399</v>
      </c>
      <c r="N27" s="31">
        <f t="shared" si="7"/>
        <v>38536.244065351435</v>
      </c>
      <c r="O27" s="51">
        <f t="shared" si="0"/>
        <v>26377.71007839669</v>
      </c>
      <c r="P27" s="32">
        <f t="shared" si="8"/>
        <v>437584.1132142639</v>
      </c>
      <c r="Q27" s="12">
        <f t="shared" si="9"/>
        <v>-18199.81968455189</v>
      </c>
      <c r="R27" s="14">
        <f t="shared" si="14"/>
        <v>407930.5646715865</v>
      </c>
      <c r="S27" s="110">
        <f t="shared" si="10"/>
        <v>26377.71007839669</v>
      </c>
      <c r="T27" s="49">
        <f t="shared" si="1"/>
        <v>318777.8316007424</v>
      </c>
      <c r="U27" s="12">
        <f>IF((Datenerfassung!$C$56)&gt;=H27,($G$15*(Datenerfassung!$C$57)/100),0)</f>
        <v>0</v>
      </c>
      <c r="V27" s="9">
        <f t="shared" si="11"/>
        <v>0</v>
      </c>
      <c r="W27" s="141">
        <f>(Datenerfassung!C$42/100*(D$30+SUM(W7:W26)))</f>
        <v>7587.665353615156</v>
      </c>
      <c r="X27" s="49">
        <f t="shared" si="2"/>
        <v>326365.49695435754</v>
      </c>
    </row>
    <row r="28" spans="1:24" ht="12.75">
      <c r="A28" s="22" t="s">
        <v>29</v>
      </c>
      <c r="B28" s="22"/>
      <c r="C28" s="21">
        <v>0</v>
      </c>
      <c r="D28" s="64">
        <f>(D7*D13*D15/D17)+(D7*D13*D15/D17*D19/100)</f>
        <v>368.55</v>
      </c>
      <c r="E28" s="2"/>
      <c r="F28" s="11"/>
      <c r="G28" s="10"/>
      <c r="H28" s="127">
        <f t="shared" si="3"/>
        <v>22</v>
      </c>
      <c r="I28" s="13">
        <f t="shared" si="12"/>
        <v>12158.533986954746</v>
      </c>
      <c r="J28" s="13">
        <f t="shared" si="4"/>
        <v>303.96334967386866</v>
      </c>
      <c r="K28" s="35">
        <f t="shared" si="5"/>
        <v>12462.497336628614</v>
      </c>
      <c r="L28" s="12">
        <f t="shared" si="13"/>
        <v>38536.244065351435</v>
      </c>
      <c r="M28" s="14">
        <f t="shared" si="6"/>
        <v>963.4061016337859</v>
      </c>
      <c r="N28" s="31">
        <f t="shared" si="7"/>
        <v>39499.65016698522</v>
      </c>
      <c r="O28" s="51">
        <f t="shared" si="0"/>
        <v>27037.15283035661</v>
      </c>
      <c r="P28" s="32">
        <f t="shared" si="8"/>
        <v>464621.26604462054</v>
      </c>
      <c r="Q28" s="12">
        <f t="shared" si="9"/>
        <v>-20396.528233579324</v>
      </c>
      <c r="R28" s="14">
        <f t="shared" si="14"/>
        <v>454704.8029835625</v>
      </c>
      <c r="S28" s="110">
        <f t="shared" si="10"/>
        <v>27037.15283035661</v>
      </c>
      <c r="T28" s="49">
        <f t="shared" si="1"/>
        <v>345814.98443109903</v>
      </c>
      <c r="U28" s="12">
        <f>IF((Datenerfassung!$C$56)&gt;=H28,($G$15*(Datenerfassung!$C$57)/100),0)</f>
        <v>0</v>
      </c>
      <c r="V28" s="9">
        <f t="shared" si="11"/>
        <v>0</v>
      </c>
      <c r="W28" s="141">
        <f>(Datenerfassung!C$42/100*(D$30+SUM(W7:W27)))</f>
        <v>8194.678581904369</v>
      </c>
      <c r="X28" s="49">
        <f t="shared" si="2"/>
        <v>354009.6630130034</v>
      </c>
    </row>
    <row r="29" spans="1:24" ht="12.75">
      <c r="A29" s="22"/>
      <c r="B29" s="22"/>
      <c r="C29" s="22"/>
      <c r="D29" s="22"/>
      <c r="E29" s="2"/>
      <c r="F29" s="11"/>
      <c r="G29" s="10"/>
      <c r="H29" s="127">
        <f t="shared" si="3"/>
        <v>23</v>
      </c>
      <c r="I29" s="13">
        <f t="shared" si="12"/>
        <v>12462.497336628614</v>
      </c>
      <c r="J29" s="13">
        <f t="shared" si="4"/>
        <v>311.56243341571536</v>
      </c>
      <c r="K29" s="35">
        <f t="shared" si="5"/>
        <v>12774.059770044329</v>
      </c>
      <c r="L29" s="12">
        <f t="shared" si="13"/>
        <v>39499.65016698522</v>
      </c>
      <c r="M29" s="14">
        <f t="shared" si="6"/>
        <v>987.4912541746306</v>
      </c>
      <c r="N29" s="31">
        <f t="shared" si="7"/>
        <v>40487.14142115985</v>
      </c>
      <c r="O29" s="51">
        <f t="shared" si="0"/>
        <v>27713.081651115524</v>
      </c>
      <c r="P29" s="32">
        <f t="shared" si="8"/>
        <v>492334.34769573604</v>
      </c>
      <c r="Q29" s="12">
        <f t="shared" si="9"/>
        <v>-22735.240149178127</v>
      </c>
      <c r="R29" s="14">
        <f t="shared" si="14"/>
        <v>504477.19596309727</v>
      </c>
      <c r="S29" s="110">
        <f t="shared" si="10"/>
        <v>27713.081651115524</v>
      </c>
      <c r="T29" s="49">
        <f t="shared" si="1"/>
        <v>373528.06608221453</v>
      </c>
      <c r="U29" s="12">
        <f>IF((Datenerfassung!$C$56)&gt;=H29,($G$15*(Datenerfassung!$C$57)/100),0)</f>
        <v>0</v>
      </c>
      <c r="V29" s="9">
        <f t="shared" si="11"/>
        <v>0</v>
      </c>
      <c r="W29" s="141">
        <f>(Datenerfassung!C$42/100*(D$30+SUM(W7:W28)))</f>
        <v>8850.252868456719</v>
      </c>
      <c r="X29" s="49">
        <f t="shared" si="2"/>
        <v>382378.31895067124</v>
      </c>
    </row>
    <row r="30" spans="1:24" ht="12.75">
      <c r="A30" s="22" t="s">
        <v>30</v>
      </c>
      <c r="B30" s="22"/>
      <c r="C30" s="21">
        <f>C7*C9*C11*C15/1000</f>
        <v>7140.000000000001</v>
      </c>
      <c r="D30" s="21">
        <f>D7*D9*D11*D15/1000</f>
        <v>20349</v>
      </c>
      <c r="E30" s="2"/>
      <c r="F30" s="11"/>
      <c r="G30" s="10"/>
      <c r="H30" s="127">
        <f t="shared" si="3"/>
        <v>24</v>
      </c>
      <c r="I30" s="13">
        <f t="shared" si="12"/>
        <v>12774.059770044329</v>
      </c>
      <c r="J30" s="13">
        <f t="shared" si="4"/>
        <v>319.35149425110825</v>
      </c>
      <c r="K30" s="35">
        <f t="shared" si="5"/>
        <v>13093.411264295437</v>
      </c>
      <c r="L30" s="12">
        <f t="shared" si="13"/>
        <v>40487.14142115985</v>
      </c>
      <c r="M30" s="14">
        <f t="shared" si="6"/>
        <v>1012.1785355289962</v>
      </c>
      <c r="N30" s="31">
        <f t="shared" si="7"/>
        <v>41499.31995668885</v>
      </c>
      <c r="O30" s="51">
        <f t="shared" si="0"/>
        <v>28405.908692393416</v>
      </c>
      <c r="P30" s="32">
        <f t="shared" si="8"/>
        <v>520740.25638812943</v>
      </c>
      <c r="Q30" s="12">
        <f t="shared" si="9"/>
        <v>-25223.859798154863</v>
      </c>
      <c r="R30" s="14">
        <f t="shared" si="14"/>
        <v>557414.1374123677</v>
      </c>
      <c r="S30" s="110">
        <f t="shared" si="10"/>
        <v>28405.908692393416</v>
      </c>
      <c r="T30" s="49">
        <f t="shared" si="1"/>
        <v>401933.9747746079</v>
      </c>
      <c r="U30" s="12">
        <f>IF((Datenerfassung!$C$56)&gt;=H30,($G$15*(Datenerfassung!$C$57)/100),0)</f>
        <v>0</v>
      </c>
      <c r="V30" s="9">
        <f t="shared" si="11"/>
        <v>0</v>
      </c>
      <c r="W30" s="141">
        <f>(Datenerfassung!C$42/100*(D$30+SUM(W7:W29)))</f>
        <v>9558.273097933255</v>
      </c>
      <c r="X30" s="49">
        <f t="shared" si="2"/>
        <v>411492.2478725412</v>
      </c>
    </row>
    <row r="31" spans="1:24" ht="12.75">
      <c r="A31" s="22"/>
      <c r="B31" s="22"/>
      <c r="C31" s="22"/>
      <c r="D31" s="22"/>
      <c r="E31" s="2"/>
      <c r="F31" s="11"/>
      <c r="G31" s="10"/>
      <c r="H31" s="127">
        <f t="shared" si="3"/>
        <v>25</v>
      </c>
      <c r="I31" s="13">
        <f t="shared" si="12"/>
        <v>13093.411264295437</v>
      </c>
      <c r="J31" s="13">
        <f t="shared" si="4"/>
        <v>327.3352816073859</v>
      </c>
      <c r="K31" s="35">
        <f t="shared" si="5"/>
        <v>13420.746545902823</v>
      </c>
      <c r="L31" s="12">
        <f t="shared" si="13"/>
        <v>41499.31995668885</v>
      </c>
      <c r="M31" s="14">
        <f t="shared" si="6"/>
        <v>1037.4829989172213</v>
      </c>
      <c r="N31" s="31">
        <f t="shared" si="7"/>
        <v>42536.80295560607</v>
      </c>
      <c r="O31" s="51">
        <f t="shared" si="0"/>
        <v>29116.056409703247</v>
      </c>
      <c r="P31" s="32">
        <f t="shared" si="8"/>
        <v>549856.3127978327</v>
      </c>
      <c r="Q31" s="12">
        <f t="shared" si="9"/>
        <v>-27870.70687061839</v>
      </c>
      <c r="R31" s="14">
        <f t="shared" si="14"/>
        <v>613690.7529753796</v>
      </c>
      <c r="S31" s="110">
        <f t="shared" si="10"/>
        <v>29116.056409703247</v>
      </c>
      <c r="T31" s="49">
        <f t="shared" si="1"/>
        <v>431050.03118431114</v>
      </c>
      <c r="U31" s="12">
        <f>IF((Datenerfassung!$C$56)&gt;=H31,($G$15*(Datenerfassung!$C$57)/100),0)</f>
        <v>0</v>
      </c>
      <c r="V31" s="9">
        <f t="shared" si="11"/>
        <v>0</v>
      </c>
      <c r="W31" s="141">
        <f>(Datenerfassung!C$42/100*(D$30+SUM(W7:W30)))</f>
        <v>10322.934945767916</v>
      </c>
      <c r="X31" s="49">
        <f t="shared" si="2"/>
        <v>441372.96613007906</v>
      </c>
    </row>
    <row r="32" spans="1:24" ht="12.75">
      <c r="A32" s="22" t="s">
        <v>31</v>
      </c>
      <c r="B32" s="22"/>
      <c r="C32" s="21"/>
      <c r="D32" s="21">
        <f>D7*D19/100*D21*D15/D17</f>
        <v>0</v>
      </c>
      <c r="E32" s="2"/>
      <c r="F32" s="11"/>
      <c r="G32" s="10"/>
      <c r="H32" s="127">
        <f t="shared" si="3"/>
        <v>26</v>
      </c>
      <c r="I32" s="13">
        <f t="shared" si="12"/>
        <v>13420.746545902823</v>
      </c>
      <c r="J32" s="13">
        <f t="shared" si="4"/>
        <v>335.5186636475706</v>
      </c>
      <c r="K32" s="35">
        <f t="shared" si="5"/>
        <v>13756.265209550393</v>
      </c>
      <c r="L32" s="12">
        <f t="shared" si="13"/>
        <v>42536.80295560607</v>
      </c>
      <c r="M32" s="14">
        <f t="shared" si="6"/>
        <v>1063.4200738901518</v>
      </c>
      <c r="N32" s="31">
        <f t="shared" si="7"/>
        <v>43600.22302949622</v>
      </c>
      <c r="O32" s="51">
        <f t="shared" si="0"/>
        <v>29843.957819945826</v>
      </c>
      <c r="P32" s="32">
        <f t="shared" si="8"/>
        <v>579700.2706177785</v>
      </c>
      <c r="Q32" s="12">
        <f t="shared" si="9"/>
        <v>-30684.53764876898</v>
      </c>
      <c r="R32" s="14">
        <f t="shared" si="14"/>
        <v>673491.3470338518</v>
      </c>
      <c r="S32" s="110">
        <f t="shared" si="10"/>
        <v>29843.957819945826</v>
      </c>
      <c r="T32" s="49">
        <f t="shared" si="1"/>
        <v>460893.98900425696</v>
      </c>
      <c r="U32" s="12">
        <f>IF((Datenerfassung!$C$56)&gt;=H32,($G$15*(Datenerfassung!$C$57)/100),0)</f>
        <v>0</v>
      </c>
      <c r="V32" s="9">
        <f t="shared" si="11"/>
        <v>0</v>
      </c>
      <c r="W32" s="141">
        <f>(Datenerfassung!C$42/100*(D$30+SUM(W7:W31)))</f>
        <v>11148.76974142935</v>
      </c>
      <c r="X32" s="49">
        <f t="shared" si="2"/>
        <v>472042.7587456863</v>
      </c>
    </row>
    <row r="33" spans="1:24" ht="12.75">
      <c r="A33" s="22"/>
      <c r="B33" s="22"/>
      <c r="C33" s="21"/>
      <c r="D33" s="21"/>
      <c r="E33" s="2"/>
      <c r="F33" s="11"/>
      <c r="G33" s="10"/>
      <c r="H33" s="127">
        <f t="shared" si="3"/>
        <v>27</v>
      </c>
      <c r="I33" s="13">
        <f t="shared" si="12"/>
        <v>13756.265209550393</v>
      </c>
      <c r="J33" s="13">
        <f t="shared" si="4"/>
        <v>343.9066302387598</v>
      </c>
      <c r="K33" s="35">
        <f t="shared" si="5"/>
        <v>14100.171839789153</v>
      </c>
      <c r="L33" s="12">
        <f t="shared" si="13"/>
        <v>43600.22302949622</v>
      </c>
      <c r="M33" s="14">
        <f t="shared" si="6"/>
        <v>1090.0055757374055</v>
      </c>
      <c r="N33" s="31">
        <f t="shared" si="7"/>
        <v>44690.22860523363</v>
      </c>
      <c r="O33" s="51">
        <f t="shared" si="0"/>
        <v>30590.056765444475</v>
      </c>
      <c r="P33" s="32">
        <f t="shared" si="8"/>
        <v>610290.327383223</v>
      </c>
      <c r="Q33" s="12">
        <f t="shared" si="9"/>
        <v>-33674.56735169259</v>
      </c>
      <c r="R33" s="14">
        <f t="shared" si="14"/>
        <v>737009.8722054902</v>
      </c>
      <c r="S33" s="110">
        <f t="shared" si="10"/>
        <v>30590.056765444475</v>
      </c>
      <c r="T33" s="49">
        <f t="shared" si="1"/>
        <v>491484.0457697014</v>
      </c>
      <c r="U33" s="12">
        <f>IF((Datenerfassung!$C$56)&gt;=H33,($G$15*(Datenerfassung!$C$57)/100),0)</f>
        <v>0</v>
      </c>
      <c r="V33" s="9">
        <f t="shared" si="11"/>
        <v>0</v>
      </c>
      <c r="W33" s="141">
        <f>(Datenerfassung!C$42/100*(D$30+SUM(W7:W32)))</f>
        <v>12040.671320743699</v>
      </c>
      <c r="X33" s="49">
        <f t="shared" si="2"/>
        <v>503524.7170904451</v>
      </c>
    </row>
    <row r="34" spans="1:24" ht="12.75">
      <c r="A34" s="22" t="s">
        <v>32</v>
      </c>
      <c r="B34" s="22"/>
      <c r="C34" s="21"/>
      <c r="D34" s="21">
        <f>D7*D19/100*D23*D15/D17</f>
        <v>0</v>
      </c>
      <c r="E34" s="2"/>
      <c r="F34" s="11"/>
      <c r="G34" s="10"/>
      <c r="H34" s="127">
        <f t="shared" si="3"/>
        <v>28</v>
      </c>
      <c r="I34" s="13">
        <f t="shared" si="12"/>
        <v>14100.171839789153</v>
      </c>
      <c r="J34" s="13">
        <f t="shared" si="4"/>
        <v>352.5042959947288</v>
      </c>
      <c r="K34" s="35">
        <f t="shared" si="5"/>
        <v>14452.676135783882</v>
      </c>
      <c r="L34" s="12">
        <f t="shared" si="13"/>
        <v>44690.22860523363</v>
      </c>
      <c r="M34" s="14">
        <f t="shared" si="6"/>
        <v>1117.2557151308406</v>
      </c>
      <c r="N34" s="31">
        <f t="shared" si="7"/>
        <v>45807.48432036447</v>
      </c>
      <c r="O34" s="51">
        <f t="shared" si="0"/>
        <v>31354.808184580586</v>
      </c>
      <c r="P34" s="32">
        <f t="shared" si="8"/>
        <v>641645.1355678036</v>
      </c>
      <c r="Q34" s="12">
        <f t="shared" si="9"/>
        <v>-36850.49361027451</v>
      </c>
      <c r="R34" s="14">
        <f t="shared" si="14"/>
        <v>804450.4225812092</v>
      </c>
      <c r="S34" s="110">
        <f t="shared" si="10"/>
        <v>31354.808184580586</v>
      </c>
      <c r="T34" s="49">
        <f t="shared" si="1"/>
        <v>522838.853954282</v>
      </c>
      <c r="U34" s="12">
        <f>IF((Datenerfassung!$C$56)&gt;=H34,($G$15*(Datenerfassung!$C$57)/100),0)</f>
        <v>0</v>
      </c>
      <c r="V34" s="9">
        <f t="shared" si="11"/>
        <v>0</v>
      </c>
      <c r="W34" s="141">
        <f>(Datenerfassung!C$42/100*(D$30+SUM(W7:W33)))</f>
        <v>13003.925026403196</v>
      </c>
      <c r="X34" s="49">
        <f t="shared" si="2"/>
        <v>535842.7789806852</v>
      </c>
    </row>
    <row r="35" spans="1:24" ht="12.75">
      <c r="A35" s="22"/>
      <c r="B35" s="22"/>
      <c r="C35" s="21"/>
      <c r="D35" s="21"/>
      <c r="E35" s="2"/>
      <c r="F35" s="11"/>
      <c r="G35" s="10"/>
      <c r="H35" s="127">
        <f t="shared" si="3"/>
        <v>29</v>
      </c>
      <c r="I35" s="13">
        <f t="shared" si="12"/>
        <v>14452.676135783882</v>
      </c>
      <c r="J35" s="13">
        <f t="shared" si="4"/>
        <v>361.31690339459703</v>
      </c>
      <c r="K35" s="35">
        <f t="shared" si="5"/>
        <v>14813.99303917848</v>
      </c>
      <c r="L35" s="12">
        <f t="shared" si="13"/>
        <v>45807.48432036447</v>
      </c>
      <c r="M35" s="14">
        <f t="shared" si="6"/>
        <v>1145.1871080091119</v>
      </c>
      <c r="N35" s="31">
        <f t="shared" si="7"/>
        <v>46952.671428373586</v>
      </c>
      <c r="O35" s="51">
        <f t="shared" si="0"/>
        <v>32138.678389195105</v>
      </c>
      <c r="P35" s="32">
        <f t="shared" si="8"/>
        <v>673783.8139569988</v>
      </c>
      <c r="Q35" s="12">
        <f t="shared" si="9"/>
        <v>-40222.521129060464</v>
      </c>
      <c r="R35" s="14">
        <f t="shared" si="14"/>
        <v>876027.7518948502</v>
      </c>
      <c r="S35" s="110">
        <f t="shared" si="10"/>
        <v>32138.678389195105</v>
      </c>
      <c r="T35" s="49">
        <f t="shared" si="1"/>
        <v>554977.5323434771</v>
      </c>
      <c r="U35" s="12">
        <f>IF((Datenerfassung!$C$56)&gt;=H35,($G$15*(Datenerfassung!$C$57)/100),0)</f>
        <v>0</v>
      </c>
      <c r="V35" s="9">
        <f t="shared" si="11"/>
        <v>0</v>
      </c>
      <c r="W35" s="141">
        <f>(Datenerfassung!C$42/100*(D$30+SUM(W7:W34)))</f>
        <v>14044.23902851545</v>
      </c>
      <c r="X35" s="49">
        <f t="shared" si="2"/>
        <v>569021.7713719925</v>
      </c>
    </row>
    <row r="36" spans="1:24" ht="13.5" thickBot="1">
      <c r="A36" s="22" t="s">
        <v>96</v>
      </c>
      <c r="B36" s="22"/>
      <c r="C36" s="21">
        <f>IF(Datenerfassung!C52&gt;1,Datenerfassung!C52,IF(D36=0,(D32+D34)*Datenerfassung!C51/100,D36*Datenerfassung!C51/100))</f>
        <v>280</v>
      </c>
      <c r="D36" s="21">
        <f>IF(Datenerfassung!C34&gt;1,Datenerfassung!C34,0)</f>
        <v>2800</v>
      </c>
      <c r="E36" s="3"/>
      <c r="F36" s="27"/>
      <c r="G36" s="28"/>
      <c r="H36" s="128">
        <f t="shared" si="3"/>
        <v>30</v>
      </c>
      <c r="I36" s="129">
        <f t="shared" si="12"/>
        <v>14813.99303917848</v>
      </c>
      <c r="J36" s="129">
        <f t="shared" si="4"/>
        <v>370.349825979462</v>
      </c>
      <c r="K36" s="36">
        <f t="shared" si="5"/>
        <v>15184.342865157942</v>
      </c>
      <c r="L36" s="16">
        <f t="shared" si="13"/>
        <v>46952.671428373586</v>
      </c>
      <c r="M36" s="17">
        <f t="shared" si="6"/>
        <v>1173.8167857093397</v>
      </c>
      <c r="N36" s="34">
        <f t="shared" si="7"/>
        <v>48126.48821408293</v>
      </c>
      <c r="O36" s="52">
        <f t="shared" si="0"/>
        <v>32942.14534892498</v>
      </c>
      <c r="P36" s="33">
        <f t="shared" si="8"/>
        <v>706725.9593059238</v>
      </c>
      <c r="Q36" s="16">
        <f t="shared" si="9"/>
        <v>-43801.387594742504</v>
      </c>
      <c r="R36" s="17">
        <f t="shared" si="14"/>
        <v>951967.8178787878</v>
      </c>
      <c r="S36" s="111">
        <f t="shared" si="10"/>
        <v>32942.14534892498</v>
      </c>
      <c r="T36" s="50">
        <f t="shared" si="1"/>
        <v>587919.6776924022</v>
      </c>
      <c r="U36" s="16">
        <f>IF((Datenerfassung!$C$56)&gt;=H36,($G$15*(Datenerfassung!$C$57)/100),0)</f>
        <v>0</v>
      </c>
      <c r="V36" s="77">
        <f t="shared" si="11"/>
        <v>0</v>
      </c>
      <c r="W36" s="144">
        <f>(Datenerfassung!C$42/100*(D$30+SUM(W7:W35)))</f>
        <v>15167.778150796687</v>
      </c>
      <c r="X36" s="50">
        <f t="shared" si="2"/>
        <v>603087.4558431988</v>
      </c>
    </row>
    <row r="37" spans="1:21" ht="12.75">
      <c r="A37" s="22"/>
      <c r="B37" s="22"/>
      <c r="C37" s="22"/>
      <c r="D37" s="22"/>
      <c r="F37" s="9"/>
      <c r="G37" s="9"/>
      <c r="H37" s="117"/>
      <c r="I37" s="13"/>
      <c r="J37" s="13"/>
      <c r="K37" s="118"/>
      <c r="L37" s="13"/>
      <c r="M37" s="13"/>
      <c r="N37" s="13"/>
      <c r="O37" s="119"/>
      <c r="P37" s="120"/>
      <c r="Q37" s="13"/>
      <c r="R37" s="13"/>
      <c r="S37" s="121"/>
      <c r="T37" s="130" t="s">
        <v>93</v>
      </c>
      <c r="U37" s="3">
        <f>SUM(U7:U36)</f>
        <v>0</v>
      </c>
    </row>
    <row r="38" spans="1:20" ht="15.75">
      <c r="A38" s="37" t="s">
        <v>33</v>
      </c>
      <c r="B38" s="22"/>
      <c r="C38" s="21">
        <f>C28+C30+C36</f>
        <v>7420.000000000001</v>
      </c>
      <c r="D38" s="21">
        <f>IF(Datenerfassung!C34&gt;1,D28+D30+D36,D28+D30+D32+D34)</f>
        <v>23517.55</v>
      </c>
      <c r="F38" s="9"/>
      <c r="G38" s="9"/>
      <c r="H38" s="117"/>
      <c r="I38" s="13"/>
      <c r="J38" s="13"/>
      <c r="K38" s="118"/>
      <c r="L38" s="13"/>
      <c r="M38" s="13"/>
      <c r="N38" s="13"/>
      <c r="O38" s="119"/>
      <c r="P38" s="120"/>
      <c r="Q38" s="13"/>
      <c r="R38" s="13"/>
      <c r="S38" s="121"/>
      <c r="T38" s="122"/>
    </row>
    <row r="39" spans="1:20" ht="12.75">
      <c r="A39" s="18"/>
      <c r="B39" s="18"/>
      <c r="C39" s="18"/>
      <c r="D39" s="18"/>
      <c r="F39" s="9"/>
      <c r="G39" s="9"/>
      <c r="H39" s="117"/>
      <c r="I39" s="13"/>
      <c r="J39" s="13"/>
      <c r="K39" s="118"/>
      <c r="L39" s="13"/>
      <c r="M39" s="13"/>
      <c r="N39" s="13"/>
      <c r="O39" s="119"/>
      <c r="P39" s="120"/>
      <c r="Q39" s="13"/>
      <c r="R39" s="13"/>
      <c r="S39" s="121"/>
      <c r="T39" s="122"/>
    </row>
    <row r="40" spans="1:20" ht="15.75">
      <c r="A40" s="37" t="s">
        <v>24</v>
      </c>
      <c r="B40" s="37"/>
      <c r="C40" s="40">
        <f>D38-C38</f>
        <v>16097.55</v>
      </c>
      <c r="D40" s="59">
        <f>C40*100/D38</f>
        <v>68.44909439971426</v>
      </c>
      <c r="E40" s="61" t="s">
        <v>49</v>
      </c>
      <c r="F40" s="9"/>
      <c r="G40" s="9"/>
      <c r="H40" s="117"/>
      <c r="I40" s="13"/>
      <c r="J40" s="13"/>
      <c r="K40" s="118"/>
      <c r="L40" s="13"/>
      <c r="M40" s="13"/>
      <c r="N40" s="13"/>
      <c r="O40" s="119"/>
      <c r="P40" s="120"/>
      <c r="Q40" s="13"/>
      <c r="R40" s="13"/>
      <c r="S40" s="121"/>
      <c r="T40" s="122"/>
    </row>
    <row r="41" spans="1:20" ht="12.75">
      <c r="A41" s="18"/>
      <c r="B41" s="18"/>
      <c r="C41" s="18"/>
      <c r="D41" s="18"/>
      <c r="F41" s="9"/>
      <c r="G41" s="9"/>
      <c r="H41" s="117"/>
      <c r="I41" s="13"/>
      <c r="J41" s="13"/>
      <c r="K41" s="118"/>
      <c r="L41" s="13"/>
      <c r="M41" s="13"/>
      <c r="N41" s="13"/>
      <c r="O41" s="119"/>
      <c r="P41" s="120"/>
      <c r="Q41" s="13"/>
      <c r="R41" s="13"/>
      <c r="S41" s="121"/>
      <c r="T41" s="122"/>
    </row>
    <row r="42" spans="1:18" ht="15.75">
      <c r="A42" s="37" t="s">
        <v>48</v>
      </c>
      <c r="B42" s="37"/>
      <c r="C42" s="23">
        <f>C7*C9*C15*C25/1000</f>
        <v>25200</v>
      </c>
      <c r="D42" s="23">
        <f>D7*D9*D15*D25/1000</f>
        <v>71820</v>
      </c>
      <c r="Q42" s="1"/>
      <c r="R42" s="1"/>
    </row>
    <row r="43" spans="1:18" ht="14.25">
      <c r="A43" s="18"/>
      <c r="B43" s="18"/>
      <c r="C43" s="18"/>
      <c r="D43" s="18"/>
      <c r="F43" s="2"/>
      <c r="H43" s="54"/>
      <c r="I43" s="54"/>
      <c r="J43" s="54"/>
      <c r="K43" s="54"/>
      <c r="Q43" s="1"/>
      <c r="R43" s="1"/>
    </row>
    <row r="44" spans="1:11" ht="15.75">
      <c r="A44" s="37" t="s">
        <v>47</v>
      </c>
      <c r="B44" s="37"/>
      <c r="C44" s="40">
        <f>D42-C42</f>
        <v>46620</v>
      </c>
      <c r="D44" s="60">
        <f>C44*100/D42</f>
        <v>64.91228070175438</v>
      </c>
      <c r="E44" s="61" t="s">
        <v>49</v>
      </c>
      <c r="H44" s="54"/>
      <c r="I44" s="54"/>
      <c r="J44" s="54"/>
      <c r="K44" s="54"/>
    </row>
    <row r="45" spans="5:11" ht="14.25">
      <c r="E45" s="54"/>
      <c r="H45" s="54"/>
      <c r="I45" s="54"/>
      <c r="J45" s="54"/>
      <c r="K45" s="54"/>
    </row>
    <row r="46" spans="1:11" ht="14.25">
      <c r="A46" s="2" t="s">
        <v>38</v>
      </c>
      <c r="D46" s="54"/>
      <c r="E46" s="54"/>
      <c r="H46" s="54"/>
      <c r="I46" s="54"/>
      <c r="J46" s="54"/>
      <c r="K46" s="54"/>
    </row>
    <row r="47" spans="1:11" ht="14.25">
      <c r="A47" t="s">
        <v>39</v>
      </c>
      <c r="B47" s="54" t="s">
        <v>44</v>
      </c>
      <c r="C47" s="54"/>
      <c r="D47" s="54"/>
      <c r="E47" s="54"/>
      <c r="F47" s="2"/>
      <c r="H47" s="54"/>
      <c r="I47" s="54"/>
      <c r="J47" s="54"/>
      <c r="K47" s="54"/>
    </row>
    <row r="48" spans="2:11" ht="14.25">
      <c r="B48" s="54" t="s">
        <v>45</v>
      </c>
      <c r="C48" s="54"/>
      <c r="D48" s="54"/>
      <c r="E48" s="54"/>
      <c r="H48" s="54"/>
      <c r="I48" s="54"/>
      <c r="J48" s="54"/>
      <c r="K48" s="54"/>
    </row>
    <row r="49" spans="1:11" ht="14.25">
      <c r="A49" t="s">
        <v>40</v>
      </c>
      <c r="B49" s="54" t="s">
        <v>46</v>
      </c>
      <c r="C49" s="54"/>
      <c r="D49" s="54"/>
      <c r="E49" s="54"/>
      <c r="H49" s="54"/>
      <c r="I49" s="54"/>
      <c r="J49" s="54"/>
      <c r="K49" s="54"/>
    </row>
    <row r="50" spans="1:11" ht="14.25">
      <c r="A50" t="s">
        <v>41</v>
      </c>
      <c r="B50" s="54" t="s">
        <v>43</v>
      </c>
      <c r="D50" s="54"/>
      <c r="E50" s="54"/>
      <c r="F50" s="5"/>
      <c r="H50" s="54"/>
      <c r="I50" s="54"/>
      <c r="J50" s="54"/>
      <c r="K50" s="54"/>
    </row>
    <row r="51" spans="2:5" ht="14.25">
      <c r="B51" s="54" t="s">
        <v>81</v>
      </c>
      <c r="D51" s="54"/>
      <c r="E51" s="54"/>
    </row>
    <row r="52" ht="14.25">
      <c r="D52" s="54"/>
    </row>
    <row r="53" spans="1:4" ht="14.25">
      <c r="A53" s="5"/>
      <c r="D53" s="54"/>
    </row>
    <row r="54" ht="14.25">
      <c r="F54" s="54"/>
    </row>
    <row r="55" ht="14.25">
      <c r="F55" s="54"/>
    </row>
    <row r="56" ht="14.25">
      <c r="F56" s="54"/>
    </row>
    <row r="57" ht="14.25">
      <c r="F57" s="54"/>
    </row>
    <row r="58" ht="14.25">
      <c r="F58" s="54"/>
    </row>
    <row r="59" ht="14.25">
      <c r="F59" s="54"/>
    </row>
    <row r="60" ht="14.25">
      <c r="F60" s="54"/>
    </row>
    <row r="61" ht="14.25">
      <c r="F61" s="54"/>
    </row>
  </sheetData>
  <sheetProtection password="AF6C" sheet="1" objects="1" scenarios="1"/>
  <conditionalFormatting sqref="X7:X36 T7:T41">
    <cfRule type="cellIs" priority="1" dxfId="30" operator="lessThan" stopIfTrue="1">
      <formula>0</formula>
    </cfRule>
  </conditionalFormatting>
  <conditionalFormatting sqref="S7">
    <cfRule type="cellIs" priority="2" dxfId="0" operator="equal" stopIfTrue="1">
      <formula>$O$7</formula>
    </cfRule>
  </conditionalFormatting>
  <conditionalFormatting sqref="S8">
    <cfRule type="cellIs" priority="3" dxfId="0" operator="equal" stopIfTrue="1">
      <formula>$O$8</formula>
    </cfRule>
  </conditionalFormatting>
  <conditionalFormatting sqref="S11">
    <cfRule type="cellIs" priority="4" dxfId="0" operator="equal" stopIfTrue="1">
      <formula>$O$11</formula>
    </cfRule>
  </conditionalFormatting>
  <conditionalFormatting sqref="S9">
    <cfRule type="cellIs" priority="5" dxfId="0" operator="equal" stopIfTrue="1">
      <formula>$O$9</formula>
    </cfRule>
  </conditionalFormatting>
  <conditionalFormatting sqref="S10">
    <cfRule type="cellIs" priority="6" dxfId="0" operator="equal" stopIfTrue="1">
      <formula>$O$10</formula>
    </cfRule>
  </conditionalFormatting>
  <conditionalFormatting sqref="S12">
    <cfRule type="cellIs" priority="7" dxfId="0" operator="equal" stopIfTrue="1">
      <formula>$O$12</formula>
    </cfRule>
  </conditionalFormatting>
  <conditionalFormatting sqref="S13">
    <cfRule type="cellIs" priority="8" dxfId="0" operator="equal" stopIfTrue="1">
      <formula>$O$13</formula>
    </cfRule>
  </conditionalFormatting>
  <conditionalFormatting sqref="S14">
    <cfRule type="cellIs" priority="9" dxfId="0" operator="equal" stopIfTrue="1">
      <formula>$O$14</formula>
    </cfRule>
  </conditionalFormatting>
  <conditionalFormatting sqref="S15">
    <cfRule type="cellIs" priority="10" dxfId="0" operator="equal" stopIfTrue="1">
      <formula>$O$15</formula>
    </cfRule>
  </conditionalFormatting>
  <conditionalFormatting sqref="S16">
    <cfRule type="cellIs" priority="11" dxfId="0" operator="equal" stopIfTrue="1">
      <formula>$O$16</formula>
    </cfRule>
  </conditionalFormatting>
  <conditionalFormatting sqref="S17">
    <cfRule type="cellIs" priority="12" dxfId="0" operator="equal" stopIfTrue="1">
      <formula>$O$17</formula>
    </cfRule>
  </conditionalFormatting>
  <conditionalFormatting sqref="S18">
    <cfRule type="cellIs" priority="13" dxfId="0" operator="equal" stopIfTrue="1">
      <formula>$O$18</formula>
    </cfRule>
  </conditionalFormatting>
  <conditionalFormatting sqref="S19">
    <cfRule type="cellIs" priority="14" dxfId="0" operator="equal" stopIfTrue="1">
      <formula>$O$19</formula>
    </cfRule>
  </conditionalFormatting>
  <conditionalFormatting sqref="S20">
    <cfRule type="cellIs" priority="15" dxfId="0" operator="equal" stopIfTrue="1">
      <formula>$O$20</formula>
    </cfRule>
  </conditionalFormatting>
  <conditionalFormatting sqref="S21">
    <cfRule type="cellIs" priority="16" dxfId="0" operator="equal" stopIfTrue="1">
      <formula>$O$21</formula>
    </cfRule>
  </conditionalFormatting>
  <conditionalFormatting sqref="S22">
    <cfRule type="cellIs" priority="17" dxfId="0" operator="equal" stopIfTrue="1">
      <formula>$O$22</formula>
    </cfRule>
  </conditionalFormatting>
  <conditionalFormatting sqref="S23">
    <cfRule type="cellIs" priority="18" dxfId="0" operator="equal" stopIfTrue="1">
      <formula>$O$23</formula>
    </cfRule>
  </conditionalFormatting>
  <conditionalFormatting sqref="S24">
    <cfRule type="cellIs" priority="19" dxfId="0" operator="equal" stopIfTrue="1">
      <formula>$O$24</formula>
    </cfRule>
  </conditionalFormatting>
  <conditionalFormatting sqref="S25">
    <cfRule type="cellIs" priority="20" dxfId="0" operator="equal" stopIfTrue="1">
      <formula>$O$25</formula>
    </cfRule>
  </conditionalFormatting>
  <conditionalFormatting sqref="S26">
    <cfRule type="cellIs" priority="21" dxfId="0" operator="equal" stopIfTrue="1">
      <formula>$O$26</formula>
    </cfRule>
  </conditionalFormatting>
  <conditionalFormatting sqref="S27">
    <cfRule type="cellIs" priority="22" dxfId="0" operator="equal" stopIfTrue="1">
      <formula>$O$27</formula>
    </cfRule>
  </conditionalFormatting>
  <conditionalFormatting sqref="S28">
    <cfRule type="cellIs" priority="23" dxfId="0" operator="equal" stopIfTrue="1">
      <formula>$O$28</formula>
    </cfRule>
  </conditionalFormatting>
  <conditionalFormatting sqref="S29">
    <cfRule type="cellIs" priority="24" dxfId="0" operator="equal" stopIfTrue="1">
      <formula>$O$29</formula>
    </cfRule>
  </conditionalFormatting>
  <conditionalFormatting sqref="S36:S41">
    <cfRule type="cellIs" priority="25" dxfId="0" operator="equal" stopIfTrue="1">
      <formula>$O$36</formula>
    </cfRule>
  </conditionalFormatting>
  <conditionalFormatting sqref="S30">
    <cfRule type="cellIs" priority="26" dxfId="0" operator="equal" stopIfTrue="1">
      <formula>$O$30</formula>
    </cfRule>
  </conditionalFormatting>
  <conditionalFormatting sqref="S31">
    <cfRule type="cellIs" priority="27" dxfId="0" operator="equal" stopIfTrue="1">
      <formula>$O$31</formula>
    </cfRule>
  </conditionalFormatting>
  <conditionalFormatting sqref="S32">
    <cfRule type="cellIs" priority="28" dxfId="0" operator="equal" stopIfTrue="1">
      <formula>$O$32</formula>
    </cfRule>
  </conditionalFormatting>
  <conditionalFormatting sqref="S33">
    <cfRule type="cellIs" priority="29" dxfId="0" operator="equal" stopIfTrue="1">
      <formula>$O$33</formula>
    </cfRule>
  </conditionalFormatting>
  <conditionalFormatting sqref="S34">
    <cfRule type="cellIs" priority="30" dxfId="0" operator="equal" stopIfTrue="1">
      <formula>$O$34</formula>
    </cfRule>
  </conditionalFormatting>
  <conditionalFormatting sqref="S35">
    <cfRule type="cellIs" priority="31" dxfId="0" operator="equal" stopIfTrue="1">
      <formula>$O$35</formula>
    </cfRule>
  </conditionalFormatting>
  <printOptions/>
  <pageMargins left="0.787401575" right="0.787401575" top="0.984251969" bottom="0.984251969" header="0.4921259845" footer="0.4921259845"/>
  <pageSetup fitToHeight="1" fitToWidth="1" horizontalDpi="200" verticalDpi="200" orientation="landscape" paperSize="9" scale="56" r:id="rId4"/>
  <headerFooter alignWithMargins="0">
    <oddHeader>&amp;R&amp;G</oddHeader>
    <oddFooter>&amp;CBöSha Technische Produkte GmbH &amp; Co.KG, Heidberg 21, D-59602 Rüthen, www.boesha.de</oddFoot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Boesha GmbH &amp; Co.KG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Shahrokhshahi</dc:creator>
  <cp:keywords/>
  <dc:description/>
  <cp:lastModifiedBy>Harry Rempe</cp:lastModifiedBy>
  <cp:lastPrinted>2012-09-19T05:55:21Z</cp:lastPrinted>
  <dcterms:created xsi:type="dcterms:W3CDTF">2009-11-24T06:56:47Z</dcterms:created>
  <dcterms:modified xsi:type="dcterms:W3CDTF">2014-04-03T06:05:02Z</dcterms:modified>
  <cp:category/>
  <cp:version/>
  <cp:contentType/>
  <cp:contentStatus/>
</cp:coreProperties>
</file>